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480" yWindow="48" windowWidth="21840" windowHeight="12588"/>
  </bookViews>
  <sheets>
    <sheet name="Ввод данных" sheetId="1" r:id="rId1"/>
    <sheet name="РАСЧЕТ" sheetId="2" state="hidden" r:id="rId2"/>
    <sheet name="Расчет РАЗОВОЙ ПЛАТЫ" sheetId="3" r:id="rId3"/>
    <sheet name="Расчет ЕЖЕГОДНОЙ ПЛАТЫ" sheetId="4" r:id="rId4"/>
    <sheet name="Таблицы" sheetId="5" state="hidden" r:id="rId5"/>
  </sheets>
  <definedNames>
    <definedName name="_xlnm._FilterDatabase" localSheetId="0" hidden="1">'Ввод данных'!$I$15:$I$20</definedName>
    <definedName name="_xlnm._FilterDatabase" localSheetId="4" hidden="1">Таблицы!$B$4:$B$19</definedName>
  </definedNames>
  <calcPr calcId="124519"/>
</workbook>
</file>

<file path=xl/calcChain.xml><?xml version="1.0" encoding="utf-8"?>
<calcChain xmlns="http://schemas.openxmlformats.org/spreadsheetml/2006/main">
  <c r="I5" i="4"/>
  <c r="I5" i="3"/>
  <c r="I9" i="4"/>
  <c r="I8" i="3"/>
  <c r="I8" i="4"/>
  <c r="I7" i="3"/>
  <c r="C6" i="2"/>
  <c r="C29"/>
  <c r="C28"/>
  <c r="J18" i="4" s="1"/>
  <c r="C27" i="2"/>
  <c r="C23"/>
  <c r="J14" i="4" s="1"/>
  <c r="B6"/>
  <c r="C11" i="1"/>
  <c r="A21" i="4" s="1"/>
  <c r="C13" i="2"/>
  <c r="C14"/>
  <c r="C3"/>
  <c r="J11" i="3" s="1"/>
  <c r="C21" i="2"/>
  <c r="E6" s="1"/>
  <c r="C19"/>
  <c r="M6" s="1"/>
  <c r="I6" i="4"/>
  <c r="J5" i="1" l="1"/>
  <c r="E3" i="2"/>
  <c r="C15"/>
  <c r="C16" s="1"/>
  <c r="C17" s="1"/>
  <c r="J13" i="4"/>
  <c r="J12" i="3"/>
  <c r="J16"/>
  <c r="J17"/>
  <c r="G3" i="2"/>
  <c r="J12" i="4"/>
  <c r="C25" i="2"/>
  <c r="J16" i="4" s="1"/>
  <c r="J19"/>
  <c r="G6" i="2"/>
  <c r="J18" i="3"/>
  <c r="J17" i="4"/>
  <c r="J13" i="3"/>
  <c r="I6" l="1"/>
  <c r="I7" i="4"/>
  <c r="J15" i="3"/>
  <c r="K6" i="2"/>
  <c r="K3"/>
  <c r="I3"/>
  <c r="I6"/>
  <c r="J14" i="3"/>
  <c r="J15" i="4"/>
  <c r="O3" i="2" l="1"/>
  <c r="Q3" s="1"/>
  <c r="V3" s="1"/>
  <c r="O6"/>
  <c r="H22" i="3" l="1"/>
  <c r="S4" i="1"/>
  <c r="Q6" i="2"/>
  <c r="I22" i="4" l="1"/>
  <c r="S5" i="1"/>
  <c r="V6" i="2"/>
</calcChain>
</file>

<file path=xl/sharedStrings.xml><?xml version="1.0" encoding="utf-8"?>
<sst xmlns="http://schemas.openxmlformats.org/spreadsheetml/2006/main" count="208" uniqueCount="138">
  <si>
    <t>1.</t>
  </si>
  <si>
    <t>Вт</t>
  </si>
  <si>
    <t>дБд</t>
  </si>
  <si>
    <t>дБ</t>
  </si>
  <si>
    <t>4.</t>
  </si>
  <si>
    <t>МГц</t>
  </si>
  <si>
    <t>5.</t>
  </si>
  <si>
    <t>м</t>
  </si>
  <si>
    <t>6.</t>
  </si>
  <si>
    <t>7.</t>
  </si>
  <si>
    <t>8.</t>
  </si>
  <si>
    <t>9.</t>
  </si>
  <si>
    <t>13.</t>
  </si>
  <si>
    <t>Пр=</t>
  </si>
  <si>
    <t>Ср</t>
  </si>
  <si>
    <t>*</t>
  </si>
  <si>
    <t>Кдиап</t>
  </si>
  <si>
    <t>Крч</t>
  </si>
  <si>
    <t>Кэим</t>
  </si>
  <si>
    <t>Ктех</t>
  </si>
  <si>
    <t>Пг=</t>
  </si>
  <si>
    <t>РУМЗП</t>
  </si>
  <si>
    <t>Руб.</t>
  </si>
  <si>
    <t>ДР/ДК</t>
  </si>
  <si>
    <t>Кол. РИС/БС</t>
  </si>
  <si>
    <t>Пр_сумм=</t>
  </si>
  <si>
    <t>Пг_сумм=</t>
  </si>
  <si>
    <t>Расчетные коэффициенты:</t>
  </si>
  <si>
    <t>P=</t>
  </si>
  <si>
    <t>W=</t>
  </si>
  <si>
    <t>Кэим=</t>
  </si>
  <si>
    <t>Gант=</t>
  </si>
  <si>
    <t>Zкаб=</t>
  </si>
  <si>
    <t>ДР/ДК=</t>
  </si>
  <si>
    <t>Кншпи=</t>
  </si>
  <si>
    <t>Кдиап=</t>
  </si>
  <si>
    <t>Крч=</t>
  </si>
  <si>
    <t>Ктех=</t>
  </si>
  <si>
    <t>Кперсп=</t>
  </si>
  <si>
    <t>Ксоц=</t>
  </si>
  <si>
    <t>Кперсп</t>
  </si>
  <si>
    <t>Ксоц</t>
  </si>
  <si>
    <t>Кншпи</t>
  </si>
  <si>
    <t>Радиосвязь</t>
  </si>
  <si>
    <t>Аналоговое телевидение</t>
  </si>
  <si>
    <t>Радиолюбители</t>
  </si>
  <si>
    <t>каналы</t>
  </si>
  <si>
    <t>полоса</t>
  </si>
  <si>
    <t>mmds</t>
  </si>
  <si>
    <t>РЛ</t>
  </si>
  <si>
    <t>Размеры ставок:</t>
  </si>
  <si>
    <t>разовая</t>
  </si>
  <si>
    <t>1. Исходные данные:</t>
  </si>
  <si>
    <t>Значение</t>
  </si>
  <si>
    <t>Ед. изм.</t>
  </si>
  <si>
    <t>1.1</t>
  </si>
  <si>
    <t>1.2</t>
  </si>
  <si>
    <t>1.3</t>
  </si>
  <si>
    <t>Необходимая ширина полосы излучения (НШПИ) радиочастотного канала</t>
  </si>
  <si>
    <t>1.4</t>
  </si>
  <si>
    <t>1.5</t>
  </si>
  <si>
    <t>2. Расчетные коэффициенты:</t>
  </si>
  <si>
    <t>2.1</t>
  </si>
  <si>
    <t>2.2</t>
  </si>
  <si>
    <r>
      <rPr>
        <i/>
        <sz val="10"/>
        <color indexed="8"/>
        <rFont val="Times New Roman"/>
        <family val="1"/>
        <charset val="204"/>
      </rPr>
      <t>Кдиап</t>
    </r>
    <r>
      <rPr>
        <sz val="10"/>
        <color indexed="8"/>
        <rFont val="Times New Roman"/>
        <family val="1"/>
        <charset val="204"/>
      </rPr>
      <t xml:space="preserve"> - коэффициент, учитывающий используемый диапазон радиочастот</t>
    </r>
  </si>
  <si>
    <t>2.3</t>
  </si>
  <si>
    <r>
      <rPr>
        <i/>
        <sz val="10"/>
        <color indexed="8"/>
        <rFont val="Times New Roman"/>
        <family val="1"/>
        <charset val="204"/>
      </rPr>
      <t>Крч</t>
    </r>
    <r>
      <rPr>
        <sz val="10"/>
        <color indexed="8"/>
        <rFont val="Times New Roman"/>
        <family val="1"/>
        <charset val="204"/>
      </rPr>
      <t xml:space="preserve"> - коэффициент, учитывающий количество используемых радиочастот (радиочастотных каналов)</t>
    </r>
  </si>
  <si>
    <t>2.4</t>
  </si>
  <si>
    <r>
      <rPr>
        <i/>
        <sz val="10"/>
        <color indexed="8"/>
        <rFont val="Times New Roman"/>
        <family val="1"/>
        <charset val="204"/>
      </rPr>
      <t>Кэим</t>
    </r>
    <r>
      <rPr>
        <sz val="10"/>
        <color indexed="8"/>
        <rFont val="Times New Roman"/>
        <family val="1"/>
        <charset val="204"/>
      </rPr>
      <t xml:space="preserve"> - коэффициент, учитывающий зону обслуживания РЭС</t>
    </r>
  </si>
  <si>
    <t>2.5</t>
  </si>
  <si>
    <r>
      <rPr>
        <i/>
        <sz val="10"/>
        <color indexed="8"/>
        <rFont val="Times New Roman"/>
        <family val="1"/>
        <charset val="204"/>
      </rPr>
      <t>Ктех</t>
    </r>
    <r>
      <rPr>
        <sz val="10"/>
        <color indexed="8"/>
        <rFont val="Times New Roman"/>
        <family val="1"/>
        <charset val="204"/>
      </rPr>
      <t xml:space="preserve"> - коэффициент, учитывающий технологию, применяемую при использовании радиочастотного спектра, </t>
    </r>
    <r>
      <rPr>
        <i/>
        <sz val="10"/>
        <color indexed="8"/>
        <rFont val="Times New Roman"/>
        <family val="1"/>
        <charset val="204"/>
      </rPr>
      <t>Ктех=Кперсп</t>
    </r>
    <r>
      <rPr>
        <i/>
        <sz val="10"/>
        <color indexed="8"/>
        <rFont val="Calibri"/>
        <family val="2"/>
        <charset val="204"/>
      </rPr>
      <t>·</t>
    </r>
    <r>
      <rPr>
        <i/>
        <sz val="10"/>
        <color indexed="8"/>
        <rFont val="Times New Roman"/>
        <family val="1"/>
        <charset val="204"/>
      </rPr>
      <t>Кншпи·Ксоц</t>
    </r>
  </si>
  <si>
    <t>2.5.1</t>
  </si>
  <si>
    <r>
      <rPr>
        <i/>
        <sz val="10"/>
        <color indexed="8"/>
        <rFont val="Times New Roman"/>
        <family val="1"/>
        <charset val="204"/>
      </rPr>
      <t>Кперсп</t>
    </r>
    <r>
      <rPr>
        <sz val="10"/>
        <color indexed="8"/>
        <rFont val="Times New Roman"/>
        <family val="1"/>
        <charset val="204"/>
      </rPr>
      <t xml:space="preserve"> - коэффициент, учитывающий перспективность технологии, применяемой при использовании радиочастотного спектра</t>
    </r>
  </si>
  <si>
    <t>2.5.2</t>
  </si>
  <si>
    <r>
      <rPr>
        <i/>
        <sz val="10"/>
        <color indexed="8"/>
        <rFont val="Times New Roman"/>
        <family val="1"/>
        <charset val="204"/>
      </rPr>
      <t>Кншпи</t>
    </r>
    <r>
      <rPr>
        <sz val="10"/>
        <color indexed="8"/>
        <rFont val="Times New Roman"/>
        <family val="1"/>
        <charset val="204"/>
      </rPr>
      <t xml:space="preserve"> - коэффициент, учитывающий НШПИ радиосигнала для передачи информации с заданным качеством в используемом радиочастотном канале</t>
    </r>
  </si>
  <si>
    <t>2.5.3</t>
  </si>
  <si>
    <r>
      <rPr>
        <i/>
        <sz val="10"/>
        <color indexed="8"/>
        <rFont val="Times New Roman"/>
        <family val="1"/>
        <charset val="204"/>
      </rPr>
      <t>Ксоц</t>
    </r>
    <r>
      <rPr>
        <sz val="10"/>
        <color indexed="8"/>
        <rFont val="Times New Roman"/>
        <family val="1"/>
        <charset val="204"/>
      </rPr>
      <t xml:space="preserve"> - коэффициент, учитывающий степень социальной направленности внедрения технологии</t>
    </r>
  </si>
  <si>
    <t>руб.</t>
  </si>
  <si>
    <t>дней</t>
  </si>
  <si>
    <t>Для одного РИС/БС</t>
  </si>
  <si>
    <t>РИС радиовещательной службы радиосвязи</t>
  </si>
  <si>
    <t>РИС любительской службы радиосвязи</t>
  </si>
  <si>
    <t>РИС сухопутной подвижной службы радиосвязи (CDMA)</t>
  </si>
  <si>
    <t>РИС фиксированной службы радиосвязи (MMDS)</t>
  </si>
  <si>
    <t>РИС сухопутной подвижной службы радиосвязи (LTE)</t>
  </si>
  <si>
    <t>РИС фиксированной службы радиосвязи</t>
  </si>
  <si>
    <t>РИС сухопутной подвижной службы радиосвязи</t>
  </si>
  <si>
    <t>10.</t>
  </si>
  <si>
    <t>Сг</t>
  </si>
  <si>
    <t>Радиовещание УКВ</t>
  </si>
  <si>
    <t>Радиовещание ДВ, СВ и КВ - каналы</t>
  </si>
  <si>
    <t>Радиовещание ДВ, СВ и КВ - полоса</t>
  </si>
  <si>
    <t>РУ МЗП</t>
  </si>
  <si>
    <t>ед.</t>
  </si>
  <si>
    <t>Суммарная используемая полоса радиочастот</t>
  </si>
  <si>
    <r>
      <t>Необходимая ширина полосы излучения (</t>
    </r>
    <r>
      <rPr>
        <i/>
        <sz val="10"/>
        <color indexed="8"/>
        <rFont val="Times New Roman"/>
        <family val="1"/>
        <charset val="204"/>
      </rPr>
      <t>НШПИ</t>
    </r>
    <r>
      <rPr>
        <sz val="10"/>
        <color indexed="8"/>
        <rFont val="Times New Roman"/>
        <family val="1"/>
        <charset val="204"/>
      </rPr>
      <t>) радиочастотного канала</t>
    </r>
  </si>
  <si>
    <r>
      <rPr>
        <i/>
        <sz val="10"/>
        <color indexed="8"/>
        <rFont val="Times New Roman"/>
        <family val="1"/>
        <charset val="204"/>
      </rPr>
      <t>Ср</t>
    </r>
    <r>
      <rPr>
        <sz val="10"/>
        <color indexed="8"/>
        <rFont val="Times New Roman"/>
        <family val="1"/>
        <charset val="204"/>
      </rPr>
      <t xml:space="preserve"> - ставка разовой платы, РУ МЗП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</si>
  <si>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Исходные данные:</t>
    </r>
  </si>
  <si>
    <r>
      <t>2.</t>
    </r>
    <r>
      <rPr>
        <b/>
        <sz val="10"/>
        <color indexed="8"/>
        <rFont val="Times New Roman"/>
        <family val="1"/>
        <charset val="204"/>
      </rPr>
      <t xml:space="preserve"> Расчетные коэффициенты:</t>
    </r>
  </si>
  <si>
    <t>Максимальное значение критерия зоны обслуживания РИС (W), не более</t>
  </si>
  <si>
    <r>
      <rPr>
        <i/>
        <sz val="10"/>
        <color indexed="8"/>
        <rFont val="Times New Roman"/>
        <family val="1"/>
        <charset val="204"/>
      </rPr>
      <t>Сг</t>
    </r>
    <r>
      <rPr>
        <sz val="10"/>
        <color indexed="8"/>
        <rFont val="Times New Roman"/>
        <family val="1"/>
        <charset val="204"/>
      </rPr>
      <t xml:space="preserve"> - ставка ежегодной платы, РУ МЗП</t>
    </r>
  </si>
  <si>
    <t xml:space="preserve">          Расчет произведен в соответствии с Методикой расчета размеров разовой и ежегодной платы за право доступа к радиочастотному спектру и использование радиочастотного спектра в Приднестровской Молдавской Республике, утвержденной Указом Президента Приднестровской Молдавской Республики от 11 июля 2012 года № 447 в действующей редакции.</t>
  </si>
  <si>
    <r>
      <t xml:space="preserve">          3. На основании исходных данных и расчетных коэффициентов размер разовой платы для одного РИС (одной БС) </t>
    </r>
    <r>
      <rPr>
        <sz val="11"/>
        <color indexed="8"/>
        <rFont val="Times New Roman"/>
        <family val="1"/>
        <charset val="204"/>
      </rPr>
      <t>составляет:</t>
    </r>
  </si>
  <si>
    <t>Расчет размера разовой платы за право доступа к радиочастотному спектру</t>
  </si>
  <si>
    <t>Максимальное значение критерия зоны обслуживания радиоизлучающего средства (РИС) или базовой станции (БС), не более</t>
  </si>
  <si>
    <t>Расчет размера ежегодной платы за использование радиочастотного спектра</t>
  </si>
  <si>
    <t>Аналоговое телевидение в полосе частот 84-100 МГц</t>
  </si>
  <si>
    <t>Радиосвязь при использовании цифровых методов</t>
  </si>
  <si>
    <t>Аппаратура поездной радиосвязи в полосах частот 307,0-307,4625 МГц и 343,0-343,4625 МГц</t>
  </si>
  <si>
    <t>Мобильная связь стандарта CDMA</t>
  </si>
  <si>
    <t>Технология MMDS</t>
  </si>
  <si>
    <t>Мобильная связь стандарта LTE</t>
  </si>
  <si>
    <t>Цифровое телевидение стандарта DVB-T2</t>
  </si>
  <si>
    <t>Спутниковая связь стандарта VSAT-Ka</t>
  </si>
  <si>
    <t>Технология DECT</t>
  </si>
  <si>
    <t>Стандарт IEEE 802.11 (Wi-Fi)</t>
  </si>
  <si>
    <t>Коэффициент усиления антенной системы РИС</t>
  </si>
  <si>
    <t>Мощность на выходе радиоизлучающего средства (РИС)</t>
  </si>
  <si>
    <t>Коэффициент затухания в кабеле</t>
  </si>
  <si>
    <t>Количество дней действия разрешения на эксплуатацию РИС</t>
  </si>
  <si>
    <t>Необходимая ширина полосы радиочастот для излучения</t>
  </si>
  <si>
    <t>11.</t>
  </si>
  <si>
    <t>Число идентичных РИС (секторов) в составе БС</t>
  </si>
  <si>
    <t>2.</t>
  </si>
  <si>
    <t>3.</t>
  </si>
  <si>
    <t>12.</t>
  </si>
  <si>
    <t>РУ МЗП в рассчитываемом периоде</t>
  </si>
  <si>
    <t>количество дней в году</t>
  </si>
  <si>
    <t>Результаты расчета:</t>
  </si>
  <si>
    <t>Размер разовой платы для одного РИС (одной БС) составляет:</t>
  </si>
  <si>
    <t>строка заполняется в случае применения стандарта LTE, VSAT-Ka или технологии MMDS, в иных случаях значение данного показателя не участвует в расчете</t>
  </si>
  <si>
    <t>строка заполняется в случае применения стандарта CDMA, либо LTE, в иных случаях данный показатель приравнивается к 1 (единице)</t>
  </si>
  <si>
    <t>Высота подвеса передающей антенны над уровнем земли</t>
  </si>
  <si>
    <t>Номинальное значение используемой частоты (центральная частота полосы частот) для излучения сигнала</t>
  </si>
  <si>
    <t>Число используемых номиналов частот (частотных каналов) для приема и излучения сигнала</t>
  </si>
  <si>
    <t>Совокупная используемая полоса частот для приема и излучения сигнала</t>
  </si>
  <si>
    <t>Исходные данные для расчета*:</t>
  </si>
  <si>
    <t>* для осуществления расчета необходимо ввести исходные данные отмеченные красным цветом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</si>
</sst>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[h]:mm:ss;@"/>
  </numFmts>
  <fonts count="3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i/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2" fillId="0" borderId="0" xfId="0" applyFont="1" applyAlignment="1" applyProtection="1">
      <alignment horizontal="right" vertical="top"/>
    </xf>
    <xf numFmtId="0" fontId="22" fillId="0" borderId="0" xfId="0" applyFont="1" applyFill="1" applyAlignment="1" applyProtection="1">
      <alignment horizontal="left" vertical="top" wrapText="1"/>
    </xf>
    <xf numFmtId="0" fontId="25" fillId="0" borderId="0" xfId="0" applyFont="1" applyAlignment="1" applyProtection="1">
      <alignment horizontal="center" vertical="center"/>
      <protection locked="0"/>
    </xf>
    <xf numFmtId="14" fontId="25" fillId="0" borderId="0" xfId="0" applyNumberFormat="1" applyFont="1" applyAlignment="1" applyProtection="1">
      <alignment horizontal="center" vertical="center"/>
      <protection locked="0"/>
    </xf>
    <xf numFmtId="14" fontId="26" fillId="0" borderId="0" xfId="0" applyNumberFormat="1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/>
    <xf numFmtId="0" fontId="23" fillId="0" borderId="0" xfId="0" applyFont="1" applyProtection="1"/>
    <xf numFmtId="0" fontId="0" fillId="0" borderId="0" xfId="0" applyProtection="1"/>
    <xf numFmtId="0" fontId="22" fillId="0" borderId="0" xfId="0" applyFont="1" applyAlignment="1" applyProtection="1">
      <alignment horizontal="right"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Protection="1"/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6" fillId="0" borderId="0" xfId="0" applyNumberFormat="1" applyFont="1" applyAlignment="1" applyProtection="1">
      <alignment horizontal="center" vertical="center"/>
    </xf>
    <xf numFmtId="0" fontId="22" fillId="0" borderId="0" xfId="0" applyFont="1" applyAlignment="1" applyProtection="1">
      <alignment horizontal="right" vertical="center" wrapText="1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horizontal="center" wrapText="1"/>
    </xf>
    <xf numFmtId="0" fontId="24" fillId="0" borderId="0" xfId="0" applyFont="1" applyFill="1" applyAlignment="1" applyProtection="1">
      <alignment horizontal="center"/>
    </xf>
    <xf numFmtId="0" fontId="1" fillId="0" borderId="0" xfId="0" applyFont="1" applyProtection="1"/>
    <xf numFmtId="0" fontId="19" fillId="0" borderId="0" xfId="0" applyFont="1" applyProtection="1"/>
    <xf numFmtId="0" fontId="16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wrapText="1"/>
    </xf>
    <xf numFmtId="0" fontId="16" fillId="0" borderId="0" xfId="0" applyFont="1" applyProtection="1"/>
    <xf numFmtId="0" fontId="0" fillId="0" borderId="0" xfId="0" applyAlignment="1" applyProtection="1">
      <alignment horizontal="right" vertical="center"/>
    </xf>
    <xf numFmtId="0" fontId="11" fillId="0" borderId="0" xfId="0" applyFont="1" applyProtection="1"/>
    <xf numFmtId="0" fontId="20" fillId="0" borderId="0" xfId="0" applyFont="1" applyProtection="1"/>
    <xf numFmtId="164" fontId="0" fillId="0" borderId="0" xfId="0" applyNumberFormat="1" applyProtection="1"/>
    <xf numFmtId="165" fontId="0" fillId="0" borderId="0" xfId="0" applyNumberFormat="1" applyProtection="1"/>
    <xf numFmtId="0" fontId="8" fillId="0" borderId="1" xfId="0" applyFont="1" applyBorder="1" applyAlignment="1" applyProtection="1">
      <alignment horizontal="center"/>
    </xf>
    <xf numFmtId="49" fontId="10" fillId="0" borderId="1" xfId="0" applyNumberFormat="1" applyFont="1" applyBorder="1" applyProtection="1"/>
    <xf numFmtId="0" fontId="10" fillId="0" borderId="1" xfId="0" applyFont="1" applyBorder="1" applyAlignment="1" applyProtection="1">
      <alignment horizontal="center" vertical="center"/>
    </xf>
    <xf numFmtId="49" fontId="10" fillId="0" borderId="1" xfId="0" applyNumberFormat="1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center" vertical="center"/>
    </xf>
    <xf numFmtId="49" fontId="10" fillId="0" borderId="0" xfId="0" applyNumberFormat="1" applyFont="1" applyProtection="1"/>
    <xf numFmtId="0" fontId="10" fillId="0" borderId="0" xfId="0" applyFont="1" applyProtection="1"/>
    <xf numFmtId="0" fontId="3" fillId="0" borderId="0" xfId="0" applyFont="1" applyProtection="1"/>
    <xf numFmtId="2" fontId="14" fillId="0" borderId="0" xfId="0" applyNumberFormat="1" applyFont="1" applyAlignment="1" applyProtection="1">
      <alignment horizontal="left" vertical="center"/>
    </xf>
    <xf numFmtId="0" fontId="14" fillId="0" borderId="0" xfId="0" applyFont="1" applyProtection="1"/>
    <xf numFmtId="0" fontId="10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/>
    <xf numFmtId="2" fontId="0" fillId="0" borderId="0" xfId="0" applyNumberFormat="1" applyProtection="1"/>
    <xf numFmtId="0" fontId="22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5" fillId="0" borderId="0" xfId="0" applyFont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quotePrefix="1" applyProtection="1"/>
    <xf numFmtId="0" fontId="5" fillId="0" borderId="2" xfId="0" applyFont="1" applyBorder="1" applyProtection="1"/>
    <xf numFmtId="0" fontId="0" fillId="0" borderId="0" xfId="0" applyBorder="1" applyProtection="1"/>
    <xf numFmtId="0" fontId="15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right"/>
    </xf>
    <xf numFmtId="0" fontId="0" fillId="2" borderId="0" xfId="0" applyFill="1" applyProtection="1"/>
    <xf numFmtId="0" fontId="0" fillId="0" borderId="0" xfId="0" applyAlignment="1" applyProtection="1">
      <alignment wrapText="1"/>
    </xf>
    <xf numFmtId="0" fontId="22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wrapText="1"/>
    </xf>
    <xf numFmtId="0" fontId="0" fillId="0" borderId="5" xfId="0" applyBorder="1" applyProtection="1"/>
    <xf numFmtId="0" fontId="0" fillId="0" borderId="6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22" fillId="0" borderId="10" xfId="0" applyFont="1" applyBorder="1" applyAlignment="1" applyProtection="1">
      <alignment horizontal="right" vertical="top"/>
    </xf>
    <xf numFmtId="0" fontId="14" fillId="0" borderId="11" xfId="0" applyFont="1" applyBorder="1" applyAlignment="1" applyProtection="1">
      <alignment vertical="top"/>
    </xf>
    <xf numFmtId="0" fontId="22" fillId="0" borderId="12" xfId="0" applyFont="1" applyBorder="1" applyAlignment="1" applyProtection="1">
      <alignment horizontal="right" vertical="top"/>
    </xf>
    <xf numFmtId="0" fontId="14" fillId="0" borderId="13" xfId="0" applyFont="1" applyBorder="1" applyAlignment="1" applyProtection="1">
      <alignment vertical="top"/>
    </xf>
    <xf numFmtId="0" fontId="23" fillId="0" borderId="10" xfId="0" applyFont="1" applyBorder="1" applyAlignment="1" applyProtection="1"/>
    <xf numFmtId="0" fontId="0" fillId="0" borderId="0" xfId="0" applyBorder="1" applyAlignment="1" applyProtection="1"/>
    <xf numFmtId="0" fontId="27" fillId="3" borderId="0" xfId="0" applyFont="1" applyFill="1" applyAlignment="1" applyProtection="1">
      <alignment vertical="top" wrapText="1"/>
      <protection locked="0"/>
    </xf>
    <xf numFmtId="0" fontId="21" fillId="3" borderId="0" xfId="0" applyFont="1" applyFill="1" applyAlignment="1" applyProtection="1">
      <alignment vertical="top" wrapText="1"/>
      <protection locked="0"/>
    </xf>
    <xf numFmtId="0" fontId="23" fillId="0" borderId="0" xfId="0" applyFont="1" applyAlignment="1" applyProtection="1"/>
    <xf numFmtId="0" fontId="0" fillId="0" borderId="0" xfId="0" applyAlignment="1" applyProtection="1"/>
    <xf numFmtId="0" fontId="28" fillId="0" borderId="0" xfId="0" applyFont="1" applyFill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23" fillId="0" borderId="4" xfId="0" applyFont="1" applyBorder="1" applyAlignment="1" applyProtection="1"/>
    <xf numFmtId="0" fontId="0" fillId="0" borderId="5" xfId="0" applyBorder="1" applyAlignment="1" applyProtection="1"/>
    <xf numFmtId="0" fontId="22" fillId="0" borderId="0" xfId="0" applyFont="1" applyBorder="1" applyAlignment="1" applyProtection="1">
      <alignment horizontal="left" vertical="top" wrapText="1"/>
    </xf>
    <xf numFmtId="0" fontId="22" fillId="0" borderId="3" xfId="0" applyFont="1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29" fillId="0" borderId="0" xfId="0" applyFont="1" applyAlignment="1" applyProtection="1">
      <alignment vertical="top" wrapText="1"/>
    </xf>
    <xf numFmtId="0" fontId="30" fillId="0" borderId="0" xfId="0" applyFont="1" applyAlignment="1" applyProtection="1">
      <alignment wrapText="1"/>
    </xf>
    <xf numFmtId="0" fontId="10" fillId="0" borderId="1" xfId="0" applyFont="1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14" fillId="0" borderId="0" xfId="0" applyFont="1" applyAlignment="1" applyProtection="1">
      <alignment horizontal="justify" vertical="top" wrapText="1"/>
    </xf>
    <xf numFmtId="0" fontId="0" fillId="0" borderId="0" xfId="0" applyFont="1" applyAlignment="1" applyProtection="1">
      <alignment horizontal="justify" vertical="top" wrapText="1"/>
    </xf>
    <xf numFmtId="49" fontId="10" fillId="0" borderId="4" xfId="0" applyNumberFormat="1" applyFont="1" applyBorder="1" applyAlignment="1" applyProtection="1"/>
    <xf numFmtId="0" fontId="0" fillId="0" borderId="6" xfId="0" applyBorder="1" applyAlignment="1" applyProtection="1"/>
    <xf numFmtId="49" fontId="10" fillId="0" borderId="1" xfId="0" applyNumberFormat="1" applyFont="1" applyBorder="1" applyAlignment="1" applyProtection="1"/>
    <xf numFmtId="0" fontId="11" fillId="0" borderId="1" xfId="0" applyFont="1" applyBorder="1" applyAlignment="1" applyProtection="1"/>
    <xf numFmtId="0" fontId="10" fillId="0" borderId="1" xfId="0" applyFont="1" applyBorder="1" applyAlignment="1" applyProtection="1"/>
    <xf numFmtId="0" fontId="6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8" fillId="0" borderId="3" xfId="0" applyFont="1" applyBorder="1" applyAlignment="1" applyProtection="1">
      <alignment horizontal="justify" vertical="center" wrapText="1"/>
    </xf>
    <xf numFmtId="0" fontId="9" fillId="0" borderId="3" xfId="0" applyFont="1" applyBorder="1" applyAlignment="1" applyProtection="1">
      <alignment horizontal="justify" vertical="center" wrapText="1"/>
    </xf>
    <xf numFmtId="0" fontId="10" fillId="0" borderId="7" xfId="0" applyFont="1" applyBorder="1" applyAlignment="1" applyProtection="1">
      <alignment vertical="center" wrapText="1"/>
    </xf>
    <xf numFmtId="0" fontId="11" fillId="0" borderId="8" xfId="0" applyFont="1" applyBorder="1" applyAlignment="1" applyProtection="1">
      <alignment vertical="center" wrapText="1"/>
    </xf>
    <xf numFmtId="0" fontId="11" fillId="0" borderId="9" xfId="0" applyFont="1" applyBorder="1" applyAlignment="1" applyProtection="1">
      <alignment vertical="center" wrapText="1"/>
    </xf>
    <xf numFmtId="0" fontId="14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vertical="top" wrapText="1"/>
    </xf>
    <xf numFmtId="0" fontId="10" fillId="0" borderId="7" xfId="0" applyFont="1" applyBorder="1" applyAlignment="1" applyProtection="1">
      <alignment horizontal="justify" vertical="center" wrapText="1"/>
    </xf>
    <xf numFmtId="0" fontId="0" fillId="0" borderId="8" xfId="0" applyBorder="1" applyAlignment="1" applyProtection="1">
      <alignment horizontal="justify" vertical="center" wrapText="1"/>
    </xf>
    <xf numFmtId="0" fontId="0" fillId="0" borderId="9" xfId="0" applyBorder="1" applyAlignment="1" applyProtection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workbookViewId="0">
      <selection activeCell="B4" sqref="B4:E4"/>
    </sheetView>
  </sheetViews>
  <sheetFormatPr defaultRowHeight="14.4"/>
  <cols>
    <col min="1" max="1" width="4.109375" style="9" customWidth="1"/>
    <col min="2" max="2" width="42.77734375" style="9" customWidth="1"/>
    <col min="3" max="3" width="13.33203125" style="9" customWidth="1"/>
    <col min="4" max="4" width="13.44140625" style="9" customWidth="1"/>
    <col min="5" max="5" width="14.21875" style="9" customWidth="1"/>
    <col min="6" max="6" width="5.77734375" style="9" customWidth="1"/>
    <col min="7" max="7" width="6.88671875" style="9" customWidth="1"/>
    <col min="8" max="8" width="4.109375" style="9" customWidth="1"/>
    <col min="9" max="9" width="5" style="9" customWidth="1"/>
    <col min="10" max="10" width="2.6640625" style="9" customWidth="1"/>
    <col min="11" max="11" width="6.77734375" style="9" customWidth="1"/>
    <col min="12" max="13" width="3.88671875" style="9" customWidth="1"/>
    <col min="14" max="14" width="4.6640625" style="9" customWidth="1"/>
    <col min="15" max="15" width="10.44140625" style="9" customWidth="1"/>
    <col min="16" max="16" width="10.5546875" style="9" customWidth="1"/>
    <col min="17" max="18" width="8.88671875" style="9"/>
    <col min="19" max="19" width="15.5546875" style="9" customWidth="1"/>
    <col min="20" max="23" width="8.88671875" style="9"/>
    <col min="24" max="24" width="76.6640625" style="9" customWidth="1"/>
    <col min="25" max="16384" width="8.88671875" style="9"/>
  </cols>
  <sheetData>
    <row r="1" spans="1:19" ht="20.399999999999999">
      <c r="A1" s="7"/>
      <c r="B1" s="77" t="s">
        <v>136</v>
      </c>
      <c r="C1" s="78"/>
      <c r="I1" s="81" t="s">
        <v>128</v>
      </c>
      <c r="J1" s="82"/>
      <c r="K1" s="82"/>
      <c r="L1" s="82"/>
      <c r="M1" s="82"/>
      <c r="N1" s="82"/>
      <c r="O1" s="82"/>
      <c r="P1" s="82"/>
      <c r="Q1" s="82"/>
      <c r="R1" s="65"/>
      <c r="S1" s="66"/>
    </row>
    <row r="2" spans="1:19" ht="14.4" customHeight="1">
      <c r="A2" s="7"/>
      <c r="B2" s="86" t="s">
        <v>137</v>
      </c>
      <c r="C2" s="87"/>
      <c r="D2" s="87"/>
      <c r="E2" s="87"/>
      <c r="I2" s="73"/>
      <c r="J2" s="74"/>
      <c r="K2" s="74"/>
      <c r="L2" s="74"/>
      <c r="M2" s="74"/>
      <c r="N2" s="74"/>
      <c r="O2" s="74"/>
      <c r="P2" s="74"/>
      <c r="Q2" s="74"/>
      <c r="R2" s="58"/>
      <c r="S2" s="68"/>
    </row>
    <row r="3" spans="1:19" ht="20.399999999999999">
      <c r="A3" s="7"/>
      <c r="B3" s="8"/>
      <c r="I3" s="67"/>
      <c r="J3" s="58"/>
      <c r="K3" s="58"/>
      <c r="L3" s="58"/>
      <c r="M3" s="58"/>
      <c r="N3" s="58"/>
      <c r="O3" s="58"/>
      <c r="P3" s="58"/>
      <c r="Q3" s="58"/>
      <c r="R3" s="58"/>
      <c r="S3" s="68"/>
    </row>
    <row r="4" spans="1:19" ht="21.6" customHeight="1">
      <c r="A4" s="10" t="s">
        <v>0</v>
      </c>
      <c r="B4" s="75" t="s">
        <v>110</v>
      </c>
      <c r="C4" s="76"/>
      <c r="D4" s="76"/>
      <c r="E4" s="76"/>
      <c r="I4" s="69" t="s">
        <v>0</v>
      </c>
      <c r="J4" s="83" t="s">
        <v>129</v>
      </c>
      <c r="K4" s="83"/>
      <c r="L4" s="83"/>
      <c r="M4" s="83"/>
      <c r="N4" s="83"/>
      <c r="O4" s="83"/>
      <c r="P4" s="83"/>
      <c r="Q4" s="83"/>
      <c r="R4" s="83"/>
      <c r="S4" s="70" t="str">
        <f>РАСЧЕТ!Q3&amp;" руб."</f>
        <v>326,25 руб.</v>
      </c>
    </row>
    <row r="5" spans="1:19" ht="27.6">
      <c r="A5" s="1" t="s">
        <v>123</v>
      </c>
      <c r="B5" s="63" t="s">
        <v>117</v>
      </c>
      <c r="C5" s="3">
        <v>20</v>
      </c>
      <c r="D5" s="11" t="s">
        <v>1</v>
      </c>
      <c r="E5" s="12"/>
      <c r="F5" s="12"/>
      <c r="G5" s="12"/>
      <c r="H5" s="12"/>
      <c r="I5" s="71" t="s">
        <v>123</v>
      </c>
      <c r="J5" s="84" t="str">
        <f>CONCATENATE("Размер ежегодной платы для одного РИС (одной БС) за период с "&amp;TEXT('Ввод данных'!C10,"ДД.ММ.ГГГГ")&amp;" г. по "&amp;TEXT('Ввод данных'!D10,"ДД.ММ.ГГГГ")&amp;" г. (",'Ввод данных'!C11," дней) составляет:")</f>
        <v>Размер ежегодной платы для одного РИС (одной БС) за период с 01.01.2017 г. по 31.12.2017 г. (365 дней) составляет:</v>
      </c>
      <c r="K5" s="85"/>
      <c r="L5" s="85"/>
      <c r="M5" s="85"/>
      <c r="N5" s="85"/>
      <c r="O5" s="85"/>
      <c r="P5" s="85"/>
      <c r="Q5" s="85"/>
      <c r="R5" s="85"/>
      <c r="S5" s="72" t="str">
        <f>РАСЧЕТ!Q6&amp;" руб."</f>
        <v>391,5 руб.</v>
      </c>
    </row>
    <row r="6" spans="1:19" ht="17.399999999999999" customHeight="1">
      <c r="A6" s="1" t="s">
        <v>124</v>
      </c>
      <c r="B6" s="63" t="s">
        <v>116</v>
      </c>
      <c r="C6" s="3">
        <v>14</v>
      </c>
      <c r="D6" s="11" t="s">
        <v>2</v>
      </c>
      <c r="E6" s="12"/>
      <c r="F6" s="12"/>
      <c r="G6" s="12"/>
      <c r="H6" s="12"/>
      <c r="I6" s="12"/>
      <c r="J6" s="46"/>
      <c r="K6" s="46"/>
      <c r="L6" s="46"/>
      <c r="M6" s="46"/>
      <c r="N6" s="46"/>
      <c r="O6" s="46"/>
      <c r="P6" s="46"/>
      <c r="Q6" s="46"/>
      <c r="R6" s="46"/>
    </row>
    <row r="7" spans="1:19" ht="15.6">
      <c r="A7" s="1" t="s">
        <v>4</v>
      </c>
      <c r="B7" s="63" t="s">
        <v>118</v>
      </c>
      <c r="C7" s="3">
        <v>1.5</v>
      </c>
      <c r="D7" s="11" t="s">
        <v>3</v>
      </c>
      <c r="E7" s="12"/>
      <c r="F7" s="12"/>
      <c r="G7" s="12"/>
      <c r="H7" s="12"/>
      <c r="I7" s="12"/>
      <c r="J7" s="45"/>
      <c r="K7" s="45"/>
      <c r="L7" s="45"/>
      <c r="M7" s="45"/>
      <c r="N7" s="45"/>
      <c r="O7" s="45"/>
      <c r="P7" s="45"/>
      <c r="Q7" s="45"/>
      <c r="R7" s="45"/>
    </row>
    <row r="8" spans="1:19" ht="41.4">
      <c r="A8" s="1" t="s">
        <v>6</v>
      </c>
      <c r="B8" s="63" t="s">
        <v>133</v>
      </c>
      <c r="C8" s="3">
        <v>800</v>
      </c>
      <c r="D8" s="11" t="s">
        <v>5</v>
      </c>
      <c r="E8" s="12"/>
      <c r="F8" s="12"/>
      <c r="G8" s="12"/>
      <c r="H8" s="12"/>
      <c r="I8" s="12"/>
      <c r="J8" s="45"/>
      <c r="K8" s="45"/>
      <c r="L8" s="45"/>
      <c r="M8" s="45"/>
      <c r="N8" s="45"/>
      <c r="O8" s="45"/>
      <c r="P8" s="45"/>
      <c r="Q8" s="45"/>
      <c r="R8" s="45"/>
    </row>
    <row r="9" spans="1:19" ht="27.6">
      <c r="A9" s="1" t="s">
        <v>8</v>
      </c>
      <c r="B9" s="63" t="s">
        <v>132</v>
      </c>
      <c r="C9" s="3">
        <v>20</v>
      </c>
      <c r="D9" s="11" t="s">
        <v>7</v>
      </c>
      <c r="E9" s="12"/>
      <c r="F9" s="12"/>
      <c r="G9" s="12"/>
      <c r="H9" s="12"/>
      <c r="I9" s="12"/>
      <c r="P9" s="14"/>
    </row>
    <row r="10" spans="1:19" ht="27.6">
      <c r="A10" s="1" t="s">
        <v>9</v>
      </c>
      <c r="B10" s="2" t="s">
        <v>119</v>
      </c>
      <c r="C10" s="4">
        <v>42736</v>
      </c>
      <c r="D10" s="5">
        <v>43100</v>
      </c>
      <c r="E10" s="12"/>
      <c r="F10" s="12"/>
      <c r="G10" s="12"/>
      <c r="H10" s="12"/>
      <c r="I10" s="12"/>
      <c r="O10" s="13"/>
      <c r="P10" s="14"/>
    </row>
    <row r="11" spans="1:19" ht="27.6">
      <c r="A11" s="1" t="s">
        <v>10</v>
      </c>
      <c r="B11" s="63" t="s">
        <v>119</v>
      </c>
      <c r="C11" s="15">
        <f>D10-C10+1</f>
        <v>365</v>
      </c>
      <c r="D11" s="11" t="s">
        <v>78</v>
      </c>
      <c r="E11" s="16" t="s">
        <v>127</v>
      </c>
      <c r="F11" s="6">
        <v>365</v>
      </c>
      <c r="G11" s="11" t="s">
        <v>78</v>
      </c>
      <c r="H11" s="12"/>
      <c r="I11" s="12"/>
      <c r="O11" s="13"/>
      <c r="P11" s="14"/>
    </row>
    <row r="12" spans="1:19" ht="30.6" customHeight="1">
      <c r="A12" s="1" t="s">
        <v>11</v>
      </c>
      <c r="B12" s="63" t="s">
        <v>120</v>
      </c>
      <c r="C12" s="3">
        <v>0.3</v>
      </c>
      <c r="D12" s="17" t="s">
        <v>5</v>
      </c>
      <c r="E12" s="18"/>
      <c r="F12" s="12"/>
      <c r="G12" s="12"/>
      <c r="H12" s="12"/>
      <c r="I12" s="12"/>
      <c r="P12" s="14"/>
    </row>
    <row r="13" spans="1:19" ht="41.4">
      <c r="A13" s="1" t="s">
        <v>87</v>
      </c>
      <c r="B13" s="2" t="s">
        <v>134</v>
      </c>
      <c r="C13" s="3">
        <v>1</v>
      </c>
      <c r="D13" s="17" t="s">
        <v>93</v>
      </c>
      <c r="E13" s="19"/>
      <c r="F13" s="12"/>
      <c r="G13" s="12"/>
      <c r="H13" s="12"/>
      <c r="I13" s="12"/>
      <c r="O13" s="13"/>
      <c r="P13" s="14"/>
    </row>
    <row r="14" spans="1:19" ht="42.6" customHeight="1">
      <c r="A14" s="1" t="s">
        <v>121</v>
      </c>
      <c r="B14" s="2" t="s">
        <v>135</v>
      </c>
      <c r="C14" s="3">
        <v>40</v>
      </c>
      <c r="D14" s="17" t="s">
        <v>5</v>
      </c>
      <c r="E14" s="79" t="s">
        <v>130</v>
      </c>
      <c r="F14" s="80"/>
      <c r="G14" s="80"/>
      <c r="H14" s="80"/>
      <c r="I14" s="80"/>
      <c r="J14" s="80"/>
      <c r="K14" s="80"/>
      <c r="O14" s="13"/>
      <c r="P14" s="14"/>
    </row>
    <row r="15" spans="1:19" ht="41.4" customHeight="1">
      <c r="A15" s="1" t="s">
        <v>125</v>
      </c>
      <c r="B15" s="2" t="s">
        <v>122</v>
      </c>
      <c r="C15" s="3">
        <v>3</v>
      </c>
      <c r="D15" s="17" t="s">
        <v>93</v>
      </c>
      <c r="E15" s="79" t="s">
        <v>131</v>
      </c>
      <c r="F15" s="80"/>
      <c r="G15" s="80"/>
      <c r="H15" s="80"/>
      <c r="I15" s="80"/>
      <c r="J15" s="80"/>
      <c r="K15" s="80"/>
      <c r="L15" s="64"/>
      <c r="O15" s="13"/>
      <c r="P15" s="14"/>
    </row>
    <row r="16" spans="1:19" ht="15.6">
      <c r="A16" s="1" t="s">
        <v>12</v>
      </c>
      <c r="B16" s="2" t="s">
        <v>126</v>
      </c>
      <c r="C16" s="3">
        <v>14.5</v>
      </c>
      <c r="D16" s="17" t="s">
        <v>77</v>
      </c>
      <c r="O16" s="13"/>
      <c r="P16" s="14"/>
    </row>
    <row r="17" spans="2:24">
      <c r="P17" s="14"/>
    </row>
    <row r="18" spans="2:24">
      <c r="G18" s="20"/>
      <c r="H18" s="21"/>
      <c r="I18" s="21"/>
      <c r="J18" s="21"/>
      <c r="K18" s="21"/>
      <c r="L18" s="21"/>
      <c r="O18" s="13"/>
      <c r="P18" s="14"/>
    </row>
    <row r="19" spans="2:24">
      <c r="O19" s="13"/>
      <c r="P19" s="14"/>
    </row>
    <row r="20" spans="2:24">
      <c r="B20" s="64"/>
      <c r="C20" s="22"/>
      <c r="O20" s="13"/>
      <c r="P20" s="14"/>
    </row>
    <row r="21" spans="2:24">
      <c r="C21" s="20"/>
      <c r="O21" s="13"/>
      <c r="P21" s="14"/>
      <c r="X21" s="23"/>
    </row>
    <row r="22" spans="2:24">
      <c r="C22" s="22"/>
      <c r="O22" s="13"/>
      <c r="P22" s="14"/>
      <c r="X22" s="23"/>
    </row>
    <row r="23" spans="2:24">
      <c r="X23" s="23"/>
    </row>
    <row r="24" spans="2:24">
      <c r="C24" s="24"/>
      <c r="O24" s="25"/>
      <c r="P24" s="20"/>
      <c r="Q24" s="26"/>
      <c r="X24" s="23"/>
    </row>
    <row r="25" spans="2:24">
      <c r="C25" s="27"/>
      <c r="I25" s="28"/>
      <c r="O25" s="14"/>
      <c r="P25" s="20"/>
      <c r="Q25" s="26"/>
      <c r="X25" s="23"/>
    </row>
    <row r="26" spans="2:24">
      <c r="C26" s="27"/>
      <c r="I26" s="28"/>
      <c r="O26" s="14"/>
      <c r="P26" s="20"/>
      <c r="Q26" s="26"/>
      <c r="X26" s="23"/>
    </row>
    <row r="27" spans="2:24">
      <c r="C27" s="27"/>
      <c r="I27" s="28"/>
      <c r="O27" s="14"/>
      <c r="P27" s="20"/>
      <c r="Q27" s="26"/>
      <c r="X27" s="23"/>
    </row>
    <row r="28" spans="2:24">
      <c r="I28" s="28"/>
      <c r="O28" s="14"/>
      <c r="P28" s="20"/>
      <c r="Q28" s="26"/>
      <c r="X28" s="23"/>
    </row>
    <row r="29" spans="2:24">
      <c r="I29" s="28"/>
      <c r="O29" s="14"/>
      <c r="P29" s="20"/>
      <c r="Q29" s="26"/>
      <c r="X29" s="23"/>
    </row>
    <row r="30" spans="2:24">
      <c r="I30" s="28"/>
      <c r="O30" s="14"/>
      <c r="P30" s="20"/>
      <c r="Q30" s="26"/>
      <c r="X30" s="23"/>
    </row>
    <row r="31" spans="2:24">
      <c r="I31" s="29"/>
      <c r="X31" s="23"/>
    </row>
    <row r="32" spans="2:24">
      <c r="X32" s="23"/>
    </row>
    <row r="33" spans="24:24">
      <c r="X33" s="64" t="s">
        <v>109</v>
      </c>
    </row>
    <row r="34" spans="24:24">
      <c r="X34" s="64" t="s">
        <v>110</v>
      </c>
    </row>
    <row r="35" spans="24:24">
      <c r="X35" s="64" t="s">
        <v>111</v>
      </c>
    </row>
    <row r="36" spans="24:24">
      <c r="X36" s="64" t="s">
        <v>112</v>
      </c>
    </row>
    <row r="37" spans="24:24">
      <c r="X37" s="64" t="s">
        <v>113</v>
      </c>
    </row>
    <row r="38" spans="24:24">
      <c r="X38" s="64" t="s">
        <v>114</v>
      </c>
    </row>
    <row r="39" spans="24:24">
      <c r="X39" s="64" t="s">
        <v>115</v>
      </c>
    </row>
    <row r="40" spans="24:24">
      <c r="X40" s="23" t="s">
        <v>44</v>
      </c>
    </row>
    <row r="41" spans="24:24">
      <c r="X41" s="64" t="s">
        <v>106</v>
      </c>
    </row>
    <row r="42" spans="24:24" ht="28.8">
      <c r="X42" s="64" t="s">
        <v>108</v>
      </c>
    </row>
    <row r="43" spans="24:24">
      <c r="X43" s="23" t="s">
        <v>43</v>
      </c>
    </row>
    <row r="44" spans="24:24">
      <c r="X44" s="64" t="s">
        <v>107</v>
      </c>
    </row>
    <row r="45" spans="24:24">
      <c r="X45" s="23" t="s">
        <v>89</v>
      </c>
    </row>
    <row r="46" spans="24:24">
      <c r="X46" s="23" t="s">
        <v>90</v>
      </c>
    </row>
    <row r="47" spans="24:24">
      <c r="X47" s="23" t="s">
        <v>91</v>
      </c>
    </row>
    <row r="48" spans="24:24">
      <c r="X48" s="23" t="s">
        <v>45</v>
      </c>
    </row>
  </sheetData>
  <sheetProtection password="86A8" sheet="1" objects="1" scenarios="1" selectLockedCells="1"/>
  <dataConsolidate/>
  <mergeCells count="8">
    <mergeCell ref="B4:E4"/>
    <mergeCell ref="B1:C1"/>
    <mergeCell ref="E15:K15"/>
    <mergeCell ref="I1:Q1"/>
    <mergeCell ref="J4:R4"/>
    <mergeCell ref="J5:R5"/>
    <mergeCell ref="E14:K14"/>
    <mergeCell ref="B2:E2"/>
  </mergeCells>
  <phoneticPr fontId="18" type="noConversion"/>
  <dataValidations count="1">
    <dataValidation type="list" allowBlank="1" showInputMessage="1" showErrorMessage="1" sqref="B4">
      <formula1>$X$33:$X$48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29"/>
  <sheetViews>
    <sheetView workbookViewId="0">
      <selection activeCell="S14" sqref="S14"/>
    </sheetView>
  </sheetViews>
  <sheetFormatPr defaultRowHeight="14.4"/>
  <cols>
    <col min="1" max="3" width="8.88671875" style="9"/>
    <col min="4" max="4" width="2.33203125" style="9" customWidth="1"/>
    <col min="5" max="5" width="8.88671875" style="9"/>
    <col min="6" max="6" width="2.33203125" style="9" customWidth="1"/>
    <col min="7" max="7" width="8.88671875" style="9"/>
    <col min="8" max="8" width="2.33203125" style="9" customWidth="1"/>
    <col min="9" max="9" width="8.88671875" style="9"/>
    <col min="10" max="10" width="2" style="9" customWidth="1"/>
    <col min="11" max="11" width="8.88671875" style="9"/>
    <col min="12" max="12" width="2.44140625" style="9" customWidth="1"/>
    <col min="13" max="13" width="8.88671875" style="9"/>
    <col min="14" max="14" width="4.5546875" style="9" customWidth="1"/>
    <col min="15" max="15" width="10.44140625" style="9" customWidth="1"/>
    <col min="16" max="16" width="5.88671875" style="9" customWidth="1"/>
    <col min="17" max="17" width="12.88671875" style="9" customWidth="1"/>
    <col min="18" max="18" width="3.5546875" style="9" customWidth="1"/>
    <col min="19" max="19" width="15" style="9" customWidth="1"/>
    <col min="20" max="20" width="4.33203125" style="9" customWidth="1"/>
    <col min="21" max="21" width="13.44140625" style="9" customWidth="1"/>
    <col min="22" max="22" width="16.88671875" style="9" customWidth="1"/>
    <col min="23" max="16384" width="8.88671875" style="9"/>
  </cols>
  <sheetData>
    <row r="2" spans="2:22" ht="18">
      <c r="B2" s="47"/>
      <c r="C2" s="48" t="s">
        <v>14</v>
      </c>
      <c r="D2" s="48" t="s">
        <v>15</v>
      </c>
      <c r="E2" s="48" t="s">
        <v>16</v>
      </c>
      <c r="F2" s="48" t="s">
        <v>15</v>
      </c>
      <c r="G2" s="48" t="s">
        <v>17</v>
      </c>
      <c r="H2" s="48" t="s">
        <v>15</v>
      </c>
      <c r="I2" s="48" t="s">
        <v>18</v>
      </c>
      <c r="J2" s="48" t="s">
        <v>15</v>
      </c>
      <c r="K2" s="48" t="s">
        <v>19</v>
      </c>
      <c r="L2" s="47"/>
      <c r="M2" s="47"/>
      <c r="N2" s="47"/>
      <c r="O2" s="49" t="s">
        <v>21</v>
      </c>
      <c r="P2" s="47"/>
      <c r="Q2" s="50" t="s">
        <v>22</v>
      </c>
      <c r="S2" s="49" t="s">
        <v>24</v>
      </c>
      <c r="V2" s="51" t="s">
        <v>22</v>
      </c>
    </row>
    <row r="3" spans="2:22" ht="18">
      <c r="B3" s="52" t="s">
        <v>13</v>
      </c>
      <c r="C3" s="53">
        <f>Таблицы!U4</f>
        <v>7.5</v>
      </c>
      <c r="D3" s="50"/>
      <c r="E3" s="53">
        <f>C21</f>
        <v>2</v>
      </c>
      <c r="F3" s="50"/>
      <c r="G3" s="53">
        <f>C23</f>
        <v>5</v>
      </c>
      <c r="H3" s="50"/>
      <c r="I3" s="53">
        <f>C17</f>
        <v>1</v>
      </c>
      <c r="J3" s="50"/>
      <c r="K3" s="53">
        <f>C25</f>
        <v>0.3</v>
      </c>
      <c r="L3" s="47"/>
      <c r="M3" s="47"/>
      <c r="N3" s="47"/>
      <c r="O3" s="54">
        <f>C3*E3*G3*I3*K3*VLOOKUP('Ввод данных'!B4,Таблицы!B4:N19,13,FALSE)</f>
        <v>22.5</v>
      </c>
      <c r="P3" s="47"/>
      <c r="Q3" s="54">
        <f>ROUND(РАСЧЕТ!O3*'Ввод данных'!C16,2)</f>
        <v>326.25</v>
      </c>
      <c r="R3" s="55"/>
      <c r="S3" s="54">
        <v>1</v>
      </c>
      <c r="T3" s="56"/>
      <c r="U3" s="52" t="s">
        <v>25</v>
      </c>
      <c r="V3" s="54">
        <f>ROUND(S3*Q3,2)</f>
        <v>326.25</v>
      </c>
    </row>
    <row r="4" spans="2:22" ht="18">
      <c r="B4" s="47"/>
      <c r="C4" s="57"/>
      <c r="D4" s="47"/>
      <c r="E4" s="57"/>
      <c r="F4" s="47"/>
      <c r="G4" s="57"/>
      <c r="H4" s="47"/>
      <c r="I4" s="57"/>
      <c r="J4" s="47"/>
      <c r="K4" s="57"/>
      <c r="L4" s="47"/>
      <c r="M4" s="47"/>
      <c r="N4" s="47"/>
      <c r="O4" s="47"/>
      <c r="P4" s="47"/>
      <c r="Q4" s="47"/>
      <c r="R4" s="55"/>
      <c r="S4" s="58"/>
      <c r="U4" s="52"/>
    </row>
    <row r="5" spans="2:22" ht="18">
      <c r="B5" s="47"/>
      <c r="C5" s="57"/>
      <c r="D5" s="47"/>
      <c r="E5" s="57"/>
      <c r="F5" s="47"/>
      <c r="G5" s="57"/>
      <c r="H5" s="47"/>
      <c r="I5" s="57"/>
      <c r="J5" s="47"/>
      <c r="K5" s="57"/>
      <c r="L5" s="47" t="s">
        <v>15</v>
      </c>
      <c r="M5" s="37" t="s">
        <v>23</v>
      </c>
      <c r="N5" s="47"/>
      <c r="O5" s="47"/>
      <c r="P5" s="47"/>
      <c r="Q5" s="47"/>
      <c r="R5" s="55"/>
      <c r="U5" s="52"/>
    </row>
    <row r="6" spans="2:22" ht="18">
      <c r="B6" s="52" t="s">
        <v>20</v>
      </c>
      <c r="C6" s="53">
        <f>VLOOKUP('Ввод данных'!B4,Таблицы!B4:L19,11,FALSE)</f>
        <v>9</v>
      </c>
      <c r="D6" s="50"/>
      <c r="E6" s="53">
        <f>C21</f>
        <v>2</v>
      </c>
      <c r="F6" s="50"/>
      <c r="G6" s="53">
        <f>C23</f>
        <v>5</v>
      </c>
      <c r="H6" s="50"/>
      <c r="I6" s="53">
        <f>C17</f>
        <v>1</v>
      </c>
      <c r="J6" s="50"/>
      <c r="K6" s="53">
        <f>C25</f>
        <v>0.3</v>
      </c>
      <c r="L6" s="47"/>
      <c r="M6" s="53">
        <f>C19</f>
        <v>1</v>
      </c>
      <c r="N6" s="47"/>
      <c r="O6" s="54">
        <f>C6*E6*G6*I6*K6*M6*VLOOKUP('Ввод данных'!B4,Таблицы!B4:J19,7,FALSE)+0.1*M6*VLOOKUP('Ввод данных'!B4,Таблицы!B4:J19,8,FALSE)</f>
        <v>27</v>
      </c>
      <c r="P6" s="47"/>
      <c r="Q6" s="54">
        <f>ROUND(O6*'Ввод данных'!C16,2)</f>
        <v>391.5</v>
      </c>
      <c r="R6" s="55"/>
      <c r="S6" s="54">
        <v>1</v>
      </c>
      <c r="U6" s="52" t="s">
        <v>26</v>
      </c>
      <c r="V6" s="54">
        <f>ROUND(S6*Q6,2)</f>
        <v>391.5</v>
      </c>
    </row>
    <row r="8" spans="2:22" ht="27.6">
      <c r="Q8" s="59" t="s">
        <v>79</v>
      </c>
    </row>
    <row r="11" spans="2:22">
      <c r="B11" s="9" t="s">
        <v>27</v>
      </c>
    </row>
    <row r="13" spans="2:22">
      <c r="B13" s="13" t="s">
        <v>31</v>
      </c>
      <c r="C13" s="60">
        <f>ROUND(POWER(10,0.1*('Ввод данных'!C6+2.14)),2)</f>
        <v>41.11</v>
      </c>
    </row>
    <row r="14" spans="2:22">
      <c r="B14" s="13" t="s">
        <v>32</v>
      </c>
      <c r="C14" s="9">
        <f>ROUND(POWER(10,0.1*'Ввод данных'!C7),2)</f>
        <v>1.41</v>
      </c>
    </row>
    <row r="15" spans="2:22">
      <c r="B15" s="13" t="s">
        <v>28</v>
      </c>
      <c r="C15" s="9">
        <f>ROUND(('Ввод данных'!C5*C13/C14)*IF(VLOOKUP('Ввод данных'!B4,Таблицы!B4:M19,12,FALSE)=1,'Ввод данных'!C15,1),2)</f>
        <v>583.12</v>
      </c>
    </row>
    <row r="16" spans="2:22">
      <c r="B16" s="13" t="s">
        <v>29</v>
      </c>
      <c r="C16" s="9">
        <f>ROUND(POWER(C15*'Ввод данных'!C9/'Ввод данных'!C8,1/3),2)</f>
        <v>2.44</v>
      </c>
    </row>
    <row r="17" spans="2:3">
      <c r="B17" s="13" t="s">
        <v>30</v>
      </c>
      <c r="C17" s="9">
        <f>IF(C16&lt;=3,1,IF(AND(3&lt;C16)*(5&gt;=C16),1.1,IF(AND(5&lt;C16)*(6&gt;=C16),1.2,IF(AND(6&lt;C16)*(7&gt;=C16),1.25,IF(AND(7&lt;C16)*(8&gt;=C16),1.3,IF(AND(8&lt;C16),1.4))))))</f>
        <v>1</v>
      </c>
    </row>
    <row r="19" spans="2:3">
      <c r="B19" s="13" t="s">
        <v>33</v>
      </c>
      <c r="C19" s="9">
        <f>ROUND('Ввод данных'!C11/'Ввод данных'!F11,2)</f>
        <v>1</v>
      </c>
    </row>
    <row r="20" spans="2:3">
      <c r="B20" s="13"/>
    </row>
    <row r="21" spans="2:3">
      <c r="B21" s="13" t="s">
        <v>35</v>
      </c>
      <c r="C21" s="9">
        <f>IF(('Ввод данных'!C8&gt;0.003)*('Ввод данных'!C8&lt;=3),0.1,IF(AND(3&lt;'Ввод данных'!C8)*(30&gt;='Ввод данных'!C8),0.5,IF(AND(30&lt;'Ввод данных'!C8)*(300&gt;='Ввод данных'!C8),2,IF(AND(300&lt;'Ввод данных'!C8)*(3000&gt;='Ввод данных'!C8),2,IF(AND(3000&lt;'Ввод данных'!C8)*(30000&gt;='Ввод данных'!C8),1,IF(AND(30000&lt;'Ввод данных'!C8)*(300000&gt;='Ввод данных'!C8),0.1))))))</f>
        <v>2</v>
      </c>
    </row>
    <row r="23" spans="2:3">
      <c r="B23" s="13" t="s">
        <v>36</v>
      </c>
      <c r="C23" s="9">
        <f>'Ввод данных'!C13*VLOOKUP('Ввод данных'!B4,Таблицы!B4:J19,4,FALSE)+'Ввод данных'!C14*VLOOKUP('Ввод данных'!B4,Таблицы!B4:J19,5,FALSE)+INT('Ввод данных'!C14/8*VLOOKUP('Ввод данных'!B4,Таблицы!B4:J19,6,FALSE))</f>
        <v>5</v>
      </c>
    </row>
    <row r="25" spans="2:3">
      <c r="B25" s="13" t="s">
        <v>37</v>
      </c>
      <c r="C25" s="9">
        <f>ROUND(C27*C28*C29,2)</f>
        <v>0.3</v>
      </c>
    </row>
    <row r="27" spans="2:3">
      <c r="B27" s="13" t="s">
        <v>38</v>
      </c>
      <c r="C27" s="9">
        <f>VLOOKUP('Ввод данных'!B4,Таблицы!B4:J19,2,FALSE)</f>
        <v>0.4</v>
      </c>
    </row>
    <row r="28" spans="2:3">
      <c r="B28" s="13" t="s">
        <v>34</v>
      </c>
      <c r="C28" s="9">
        <f>VLOOKUP('Ввод данных'!B4,Таблицы!B4:J19,9,FALSE)</f>
        <v>2.5</v>
      </c>
    </row>
    <row r="29" spans="2:3">
      <c r="B29" s="13" t="s">
        <v>39</v>
      </c>
      <c r="C29" s="9">
        <f>VLOOKUP('Ввод данных'!B4,Таблицы!B4:J19,3,FALSE)</f>
        <v>0.3</v>
      </c>
    </row>
  </sheetData>
  <sheetProtection password="86A8" sheet="1" objects="1" scenarios="1" selectLockedCells="1"/>
  <phoneticPr fontId="1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="110" zoomScaleNormal="110" workbookViewId="0">
      <selection activeCell="M8" sqref="M8"/>
    </sheetView>
  </sheetViews>
  <sheetFormatPr defaultRowHeight="14.4"/>
  <cols>
    <col min="1" max="1" width="5" style="9" customWidth="1"/>
    <col min="2" max="7" width="8.88671875" style="9"/>
    <col min="8" max="8" width="9.5546875" style="9" customWidth="1"/>
    <col min="9" max="9" width="8.88671875" style="9"/>
    <col min="10" max="10" width="9.5546875" style="9" customWidth="1"/>
    <col min="11" max="16384" width="8.88671875" style="9"/>
  </cols>
  <sheetData>
    <row r="1" spans="1:10" ht="28.8" customHeight="1">
      <c r="B1" s="97" t="s">
        <v>103</v>
      </c>
      <c r="C1" s="98"/>
      <c r="D1" s="98"/>
      <c r="E1" s="98"/>
      <c r="F1" s="98"/>
      <c r="G1" s="98"/>
      <c r="H1" s="99"/>
      <c r="I1" s="99"/>
      <c r="J1" s="99"/>
    </row>
    <row r="3" spans="1:10" ht="51.75" customHeight="1">
      <c r="A3" s="100" t="s">
        <v>101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>
      <c r="A4" s="96" t="s">
        <v>97</v>
      </c>
      <c r="B4" s="95"/>
      <c r="C4" s="95"/>
      <c r="D4" s="95"/>
      <c r="E4" s="95"/>
      <c r="F4" s="95"/>
      <c r="G4" s="95"/>
      <c r="H4" s="95"/>
      <c r="I4" s="30" t="s">
        <v>53</v>
      </c>
      <c r="J4" s="30" t="s">
        <v>54</v>
      </c>
    </row>
    <row r="5" spans="1:10">
      <c r="A5" s="31" t="s">
        <v>55</v>
      </c>
      <c r="B5" s="96" t="s">
        <v>92</v>
      </c>
      <c r="C5" s="95"/>
      <c r="D5" s="95"/>
      <c r="E5" s="95"/>
      <c r="F5" s="95"/>
      <c r="G5" s="95"/>
      <c r="H5" s="95"/>
      <c r="I5" s="32">
        <f>'Ввод данных'!C16</f>
        <v>14.5</v>
      </c>
      <c r="J5" s="32" t="s">
        <v>77</v>
      </c>
    </row>
    <row r="6" spans="1:10" ht="28.8" customHeight="1">
      <c r="A6" s="33" t="s">
        <v>56</v>
      </c>
      <c r="B6" s="102" t="s">
        <v>104</v>
      </c>
      <c r="C6" s="103"/>
      <c r="D6" s="103"/>
      <c r="E6" s="103"/>
      <c r="F6" s="103"/>
      <c r="G6" s="103"/>
      <c r="H6" s="104"/>
      <c r="I6" s="32">
        <f>ROUND(РАСЧЕТ!C16,2)</f>
        <v>2.44</v>
      </c>
      <c r="J6" s="32" t="s">
        <v>93</v>
      </c>
    </row>
    <row r="7" spans="1:10">
      <c r="A7" s="31" t="s">
        <v>57</v>
      </c>
      <c r="B7" s="96" t="s">
        <v>95</v>
      </c>
      <c r="C7" s="95"/>
      <c r="D7" s="95"/>
      <c r="E7" s="95"/>
      <c r="F7" s="95"/>
      <c r="G7" s="95"/>
      <c r="H7" s="95"/>
      <c r="I7" s="32" t="str">
        <f>IF(VLOOKUP('Ввод данных'!B4,Таблицы!B4:J19,4,FALSE)=0,"-",'Ввод данных'!C12)</f>
        <v>-</v>
      </c>
      <c r="J7" s="32" t="s">
        <v>5</v>
      </c>
    </row>
    <row r="8" spans="1:10">
      <c r="A8" s="31" t="s">
        <v>59</v>
      </c>
      <c r="B8" s="96" t="s">
        <v>94</v>
      </c>
      <c r="C8" s="95"/>
      <c r="D8" s="95"/>
      <c r="E8" s="95"/>
      <c r="F8" s="95"/>
      <c r="G8" s="95"/>
      <c r="H8" s="95"/>
      <c r="I8" s="32">
        <f>IF(VLOOKUP('Ввод данных'!B4,Таблицы!B4:J19,5,FALSE)+VLOOKUP('Ввод данных'!B4,Таблицы!B4:J19,6,FALSE)=0,"-",'Ввод данных'!C14)</f>
        <v>40</v>
      </c>
      <c r="J8" s="32" t="s">
        <v>5</v>
      </c>
    </row>
    <row r="9" spans="1:10">
      <c r="A9" s="92"/>
      <c r="B9" s="82"/>
      <c r="C9" s="82"/>
      <c r="D9" s="82"/>
      <c r="E9" s="82"/>
      <c r="F9" s="82"/>
      <c r="G9" s="82"/>
      <c r="H9" s="82"/>
      <c r="I9" s="82"/>
      <c r="J9" s="93"/>
    </row>
    <row r="10" spans="1:10">
      <c r="A10" s="94" t="s">
        <v>98</v>
      </c>
      <c r="B10" s="95"/>
      <c r="C10" s="95"/>
      <c r="D10" s="95"/>
      <c r="E10" s="95"/>
      <c r="F10" s="95"/>
      <c r="G10" s="95"/>
      <c r="H10" s="95"/>
      <c r="I10" s="95"/>
      <c r="J10" s="34" t="s">
        <v>53</v>
      </c>
    </row>
    <row r="11" spans="1:10">
      <c r="A11" s="33" t="s">
        <v>62</v>
      </c>
      <c r="B11" s="88" t="s">
        <v>96</v>
      </c>
      <c r="C11" s="89"/>
      <c r="D11" s="89"/>
      <c r="E11" s="89"/>
      <c r="F11" s="89"/>
      <c r="G11" s="89"/>
      <c r="H11" s="89"/>
      <c r="I11" s="89"/>
      <c r="J11" s="32">
        <f>РАСЧЕТ!C3</f>
        <v>7.5</v>
      </c>
    </row>
    <row r="12" spans="1:10">
      <c r="A12" s="33" t="s">
        <v>63</v>
      </c>
      <c r="B12" s="88" t="s">
        <v>64</v>
      </c>
      <c r="C12" s="89"/>
      <c r="D12" s="89"/>
      <c r="E12" s="89"/>
      <c r="F12" s="89"/>
      <c r="G12" s="89"/>
      <c r="H12" s="89"/>
      <c r="I12" s="89"/>
      <c r="J12" s="32">
        <f>РАСЧЕТ!C21</f>
        <v>2</v>
      </c>
    </row>
    <row r="13" spans="1:10" ht="26.25" customHeight="1">
      <c r="A13" s="33" t="s">
        <v>65</v>
      </c>
      <c r="B13" s="88" t="s">
        <v>66</v>
      </c>
      <c r="C13" s="89"/>
      <c r="D13" s="89"/>
      <c r="E13" s="89"/>
      <c r="F13" s="89"/>
      <c r="G13" s="89"/>
      <c r="H13" s="89"/>
      <c r="I13" s="89"/>
      <c r="J13" s="32">
        <f>РАСЧЕТ!C23</f>
        <v>5</v>
      </c>
    </row>
    <row r="14" spans="1:10" ht="14.25" customHeight="1">
      <c r="A14" s="33" t="s">
        <v>67</v>
      </c>
      <c r="B14" s="88" t="s">
        <v>68</v>
      </c>
      <c r="C14" s="89"/>
      <c r="D14" s="89"/>
      <c r="E14" s="89"/>
      <c r="F14" s="89"/>
      <c r="G14" s="89"/>
      <c r="H14" s="89"/>
      <c r="I14" s="89"/>
      <c r="J14" s="32">
        <f>РАСЧЕТ!C17</f>
        <v>1</v>
      </c>
    </row>
    <row r="15" spans="1:10" ht="26.25" customHeight="1">
      <c r="A15" s="33" t="s">
        <v>69</v>
      </c>
      <c r="B15" s="88" t="s">
        <v>70</v>
      </c>
      <c r="C15" s="89"/>
      <c r="D15" s="89"/>
      <c r="E15" s="89"/>
      <c r="F15" s="89"/>
      <c r="G15" s="89"/>
      <c r="H15" s="89"/>
      <c r="I15" s="89"/>
      <c r="J15" s="32">
        <f>РАСЧЕТ!C25</f>
        <v>0.3</v>
      </c>
    </row>
    <row r="16" spans="1:10" ht="26.25" customHeight="1">
      <c r="A16" s="33" t="s">
        <v>71</v>
      </c>
      <c r="B16" s="88" t="s">
        <v>72</v>
      </c>
      <c r="C16" s="89"/>
      <c r="D16" s="89"/>
      <c r="E16" s="89"/>
      <c r="F16" s="89"/>
      <c r="G16" s="89"/>
      <c r="H16" s="89"/>
      <c r="I16" s="89"/>
      <c r="J16" s="32">
        <f>РАСЧЕТ!C27</f>
        <v>0.4</v>
      </c>
    </row>
    <row r="17" spans="1:10" ht="25.8" customHeight="1">
      <c r="A17" s="33" t="s">
        <v>73</v>
      </c>
      <c r="B17" s="88" t="s">
        <v>74</v>
      </c>
      <c r="C17" s="89"/>
      <c r="D17" s="89"/>
      <c r="E17" s="89"/>
      <c r="F17" s="89"/>
      <c r="G17" s="89"/>
      <c r="H17" s="89"/>
      <c r="I17" s="89"/>
      <c r="J17" s="32">
        <f>РАСЧЕТ!C28</f>
        <v>2.5</v>
      </c>
    </row>
    <row r="18" spans="1:10" ht="25.2" customHeight="1">
      <c r="A18" s="33" t="s">
        <v>75</v>
      </c>
      <c r="B18" s="88" t="s">
        <v>76</v>
      </c>
      <c r="C18" s="89"/>
      <c r="D18" s="89"/>
      <c r="E18" s="89"/>
      <c r="F18" s="89"/>
      <c r="G18" s="89"/>
      <c r="H18" s="89"/>
      <c r="I18" s="89"/>
      <c r="J18" s="32">
        <f>РАСЧЕТ!C29</f>
        <v>0.3</v>
      </c>
    </row>
    <row r="19" spans="1:10" ht="8.25" customHeight="1">
      <c r="A19" s="35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29.4" customHeight="1">
      <c r="A20" s="90" t="s">
        <v>102</v>
      </c>
      <c r="B20" s="91"/>
      <c r="C20" s="91"/>
      <c r="D20" s="91"/>
      <c r="E20" s="91"/>
      <c r="F20" s="91"/>
      <c r="G20" s="91"/>
      <c r="H20" s="91"/>
      <c r="I20" s="91"/>
      <c r="J20" s="91"/>
    </row>
    <row r="21" spans="1:10" ht="15.6">
      <c r="A21" s="36"/>
      <c r="B21" s="37"/>
      <c r="C21" s="36"/>
      <c r="D21" s="36"/>
      <c r="E21" s="36"/>
      <c r="F21" s="38"/>
      <c r="G21" s="36"/>
      <c r="H21" s="36"/>
      <c r="I21" s="36"/>
      <c r="J21" s="36"/>
    </row>
    <row r="22" spans="1:10" ht="21" customHeight="1">
      <c r="H22" s="39" t="str">
        <f>РАСЧЕТ!Q3&amp;" руб."</f>
        <v>326,25 руб.</v>
      </c>
    </row>
    <row r="23" spans="1:10" ht="17.25" customHeight="1"/>
    <row r="26" spans="1:10" ht="27" customHeight="1"/>
    <row r="33" ht="25.95" customHeight="1"/>
  </sheetData>
  <sheetProtection password="86A8" sheet="1" objects="1" scenarios="1" selectLockedCells="1"/>
  <mergeCells count="18">
    <mergeCell ref="B8:H8"/>
    <mergeCell ref="B7:H7"/>
    <mergeCell ref="B1:J1"/>
    <mergeCell ref="A3:J3"/>
    <mergeCell ref="A4:H4"/>
    <mergeCell ref="B5:H5"/>
    <mergeCell ref="B6:H6"/>
    <mergeCell ref="B17:I17"/>
    <mergeCell ref="A20:J20"/>
    <mergeCell ref="B18:I18"/>
    <mergeCell ref="A9:J9"/>
    <mergeCell ref="A10:I10"/>
    <mergeCell ref="B11:I11"/>
    <mergeCell ref="B12:I12"/>
    <mergeCell ref="B16:I16"/>
    <mergeCell ref="B13:I13"/>
    <mergeCell ref="B14:I14"/>
    <mergeCell ref="B15:I15"/>
  </mergeCells>
  <phoneticPr fontId="18" type="noConversion"/>
  <pageMargins left="0.7" right="0.7" top="0.75" bottom="0.75" header="0.3" footer="0.3"/>
  <pageSetup paperSize="9" orientation="portrait" r:id="rId1"/>
  <legacyDrawing r:id="rId2"/>
  <oleObjects>
    <oleObject progId="Equation.3" shapeId="1025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W36"/>
  <sheetViews>
    <sheetView zoomScale="110" zoomScaleNormal="110" workbookViewId="0">
      <selection activeCell="N27" sqref="N27"/>
    </sheetView>
  </sheetViews>
  <sheetFormatPr defaultRowHeight="14.4"/>
  <cols>
    <col min="1" max="1" width="4.88671875" style="9" customWidth="1"/>
    <col min="2" max="9" width="8.88671875" style="9"/>
    <col min="10" max="10" width="11.109375" style="9" customWidth="1"/>
    <col min="11" max="13" width="8.88671875" style="9"/>
    <col min="14" max="14" width="13.33203125" style="9" customWidth="1"/>
    <col min="15" max="16384" width="8.88671875" style="9"/>
  </cols>
  <sheetData>
    <row r="1" spans="1:23" ht="32.25" customHeight="1">
      <c r="B1" s="97" t="s">
        <v>105</v>
      </c>
      <c r="C1" s="98"/>
      <c r="D1" s="98"/>
      <c r="E1" s="98"/>
      <c r="F1" s="98"/>
      <c r="G1" s="98"/>
      <c r="H1" s="99"/>
      <c r="I1" s="99"/>
      <c r="J1" s="99"/>
    </row>
    <row r="2" spans="1:23" ht="9" customHeight="1"/>
    <row r="3" spans="1:23" ht="52.2" customHeight="1">
      <c r="A3" s="100" t="s">
        <v>101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23">
      <c r="A4" s="96" t="s">
        <v>52</v>
      </c>
      <c r="B4" s="95"/>
      <c r="C4" s="95"/>
      <c r="D4" s="95"/>
      <c r="E4" s="95"/>
      <c r="F4" s="95"/>
      <c r="G4" s="95"/>
      <c r="H4" s="95"/>
      <c r="I4" s="30" t="s">
        <v>53</v>
      </c>
      <c r="J4" s="30" t="s">
        <v>54</v>
      </c>
    </row>
    <row r="5" spans="1:23">
      <c r="A5" s="31" t="s">
        <v>55</v>
      </c>
      <c r="B5" s="96" t="s">
        <v>92</v>
      </c>
      <c r="C5" s="95"/>
      <c r="D5" s="95"/>
      <c r="E5" s="95"/>
      <c r="F5" s="95"/>
      <c r="G5" s="95"/>
      <c r="H5" s="95"/>
      <c r="I5" s="32">
        <f>'Ввод данных'!C16</f>
        <v>14.5</v>
      </c>
      <c r="J5" s="32" t="s">
        <v>77</v>
      </c>
    </row>
    <row r="6" spans="1:23" ht="39" customHeight="1">
      <c r="A6" s="33" t="s">
        <v>56</v>
      </c>
      <c r="B6" s="107" t="str">
        <f>"Количество дней использования радиоизлучающего средства (РИС) или базовой станции (БС) в течении оплачиваемого года, в период с "&amp;TEXT('Ввод данных'!C10,"ДД.ММ.ГГГГ")&amp;" г. по "&amp;TEXT('Ввод данных'!D10,"ДД.ММ.ГГГГ")&amp;" г., составляет"</f>
        <v>Количество дней использования радиоизлучающего средства (РИС) или базовой станции (БС) в течении оплачиваемого года, в период с 01.01.2017 г. по 31.12.2017 г., составляет</v>
      </c>
      <c r="C6" s="108"/>
      <c r="D6" s="108"/>
      <c r="E6" s="108"/>
      <c r="F6" s="108"/>
      <c r="G6" s="108"/>
      <c r="H6" s="109"/>
      <c r="I6" s="32">
        <f>'Ввод данных'!C11</f>
        <v>365</v>
      </c>
      <c r="J6" s="32" t="s">
        <v>78</v>
      </c>
      <c r="L6" s="40"/>
      <c r="M6" s="41"/>
      <c r="N6" s="42"/>
      <c r="O6" s="42"/>
      <c r="P6" s="42"/>
      <c r="Q6" s="42"/>
      <c r="R6" s="42"/>
      <c r="S6" s="42"/>
      <c r="T6" s="42"/>
      <c r="U6" s="43"/>
      <c r="V6" s="43"/>
      <c r="W6" s="43"/>
    </row>
    <row r="7" spans="1:23">
      <c r="A7" s="31" t="s">
        <v>57</v>
      </c>
      <c r="B7" s="96" t="s">
        <v>99</v>
      </c>
      <c r="C7" s="95"/>
      <c r="D7" s="95"/>
      <c r="E7" s="95"/>
      <c r="F7" s="95"/>
      <c r="G7" s="95"/>
      <c r="H7" s="95"/>
      <c r="I7" s="32">
        <f>ROUND(РАСЧЕТ!C16,2)</f>
        <v>2.44</v>
      </c>
      <c r="J7" s="32" t="s">
        <v>93</v>
      </c>
    </row>
    <row r="8" spans="1:23">
      <c r="A8" s="31" t="s">
        <v>59</v>
      </c>
      <c r="B8" s="96" t="s">
        <v>58</v>
      </c>
      <c r="C8" s="95"/>
      <c r="D8" s="95"/>
      <c r="E8" s="95"/>
      <c r="F8" s="95"/>
      <c r="G8" s="95"/>
      <c r="H8" s="95"/>
      <c r="I8" s="32" t="str">
        <f>IF(VLOOKUP('Ввод данных'!B4,Таблицы!B4:J19,4,FALSE)=0,"-",'Ввод данных'!C12)</f>
        <v>-</v>
      </c>
      <c r="J8" s="32" t="s">
        <v>5</v>
      </c>
    </row>
    <row r="9" spans="1:23">
      <c r="A9" s="31" t="s">
        <v>60</v>
      </c>
      <c r="B9" s="96" t="s">
        <v>94</v>
      </c>
      <c r="C9" s="95"/>
      <c r="D9" s="95"/>
      <c r="E9" s="95"/>
      <c r="F9" s="95"/>
      <c r="G9" s="95"/>
      <c r="H9" s="95"/>
      <c r="I9" s="32">
        <f>IF(VLOOKUP('Ввод данных'!B4,Таблицы!B4:J19,5,FALSE)+VLOOKUP('Ввод данных'!B4,Таблицы!B4:J19,6,FALSE)=0,"-",'Ввод данных'!C14)</f>
        <v>40</v>
      </c>
      <c r="J9" s="32" t="s">
        <v>5</v>
      </c>
    </row>
    <row r="10" spans="1:23">
      <c r="A10" s="92"/>
      <c r="B10" s="82"/>
      <c r="C10" s="82"/>
      <c r="D10" s="82"/>
      <c r="E10" s="82"/>
      <c r="F10" s="82"/>
      <c r="G10" s="82"/>
      <c r="H10" s="82"/>
      <c r="I10" s="82"/>
      <c r="J10" s="93"/>
    </row>
    <row r="11" spans="1:23">
      <c r="A11" s="94" t="s">
        <v>61</v>
      </c>
      <c r="B11" s="95"/>
      <c r="C11" s="95"/>
      <c r="D11" s="95"/>
      <c r="E11" s="95"/>
      <c r="F11" s="95"/>
      <c r="G11" s="95"/>
      <c r="H11" s="95"/>
      <c r="I11" s="95"/>
      <c r="J11" s="34" t="s">
        <v>53</v>
      </c>
    </row>
    <row r="12" spans="1:23">
      <c r="A12" s="33" t="s">
        <v>62</v>
      </c>
      <c r="B12" s="88" t="s">
        <v>100</v>
      </c>
      <c r="C12" s="89"/>
      <c r="D12" s="89"/>
      <c r="E12" s="89"/>
      <c r="F12" s="89"/>
      <c r="G12" s="89"/>
      <c r="H12" s="89"/>
      <c r="I12" s="89"/>
      <c r="J12" s="32">
        <f>РАСЧЕТ!C6</f>
        <v>9</v>
      </c>
    </row>
    <row r="13" spans="1:23">
      <c r="A13" s="33" t="s">
        <v>63</v>
      </c>
      <c r="B13" s="88" t="s">
        <v>64</v>
      </c>
      <c r="C13" s="89"/>
      <c r="D13" s="89"/>
      <c r="E13" s="89"/>
      <c r="F13" s="89"/>
      <c r="G13" s="89"/>
      <c r="H13" s="89"/>
      <c r="I13" s="89"/>
      <c r="J13" s="32">
        <f>РАСЧЕТ!C21</f>
        <v>2</v>
      </c>
    </row>
    <row r="14" spans="1:23" ht="25.5" customHeight="1">
      <c r="A14" s="33" t="s">
        <v>65</v>
      </c>
      <c r="B14" s="88" t="s">
        <v>66</v>
      </c>
      <c r="C14" s="89"/>
      <c r="D14" s="89"/>
      <c r="E14" s="89"/>
      <c r="F14" s="89"/>
      <c r="G14" s="89"/>
      <c r="H14" s="89"/>
      <c r="I14" s="89"/>
      <c r="J14" s="32">
        <f>РАСЧЕТ!C23</f>
        <v>5</v>
      </c>
    </row>
    <row r="15" spans="1:23">
      <c r="A15" s="33" t="s">
        <v>67</v>
      </c>
      <c r="B15" s="88" t="s">
        <v>68</v>
      </c>
      <c r="C15" s="89"/>
      <c r="D15" s="89"/>
      <c r="E15" s="89"/>
      <c r="F15" s="89"/>
      <c r="G15" s="89"/>
      <c r="H15" s="89"/>
      <c r="I15" s="89"/>
      <c r="J15" s="32">
        <f>РАСЧЕТ!C17</f>
        <v>1</v>
      </c>
    </row>
    <row r="16" spans="1:23" ht="26.25" customHeight="1">
      <c r="A16" s="33" t="s">
        <v>69</v>
      </c>
      <c r="B16" s="88" t="s">
        <v>70</v>
      </c>
      <c r="C16" s="89"/>
      <c r="D16" s="89"/>
      <c r="E16" s="89"/>
      <c r="F16" s="89"/>
      <c r="G16" s="89"/>
      <c r="H16" s="89"/>
      <c r="I16" s="89"/>
      <c r="J16" s="32">
        <f>РАСЧЕТ!C25</f>
        <v>0.3</v>
      </c>
    </row>
    <row r="17" spans="1:13" ht="26.25" customHeight="1">
      <c r="A17" s="33" t="s">
        <v>71</v>
      </c>
      <c r="B17" s="88" t="s">
        <v>72</v>
      </c>
      <c r="C17" s="89"/>
      <c r="D17" s="89"/>
      <c r="E17" s="89"/>
      <c r="F17" s="89"/>
      <c r="G17" s="89"/>
      <c r="H17" s="89"/>
      <c r="I17" s="89"/>
      <c r="J17" s="32">
        <f>РАСЧЕТ!C27</f>
        <v>0.4</v>
      </c>
    </row>
    <row r="18" spans="1:13" ht="26.25" customHeight="1">
      <c r="A18" s="33" t="s">
        <v>73</v>
      </c>
      <c r="B18" s="88" t="s">
        <v>74</v>
      </c>
      <c r="C18" s="89"/>
      <c r="D18" s="89"/>
      <c r="E18" s="89"/>
      <c r="F18" s="89"/>
      <c r="G18" s="89"/>
      <c r="H18" s="89"/>
      <c r="I18" s="89"/>
      <c r="J18" s="32">
        <f>РАСЧЕТ!C28</f>
        <v>2.5</v>
      </c>
    </row>
    <row r="19" spans="1:13" ht="26.4" customHeight="1">
      <c r="A19" s="33" t="s">
        <v>75</v>
      </c>
      <c r="B19" s="88" t="s">
        <v>76</v>
      </c>
      <c r="C19" s="89"/>
      <c r="D19" s="89"/>
      <c r="E19" s="89"/>
      <c r="F19" s="89"/>
      <c r="G19" s="89"/>
      <c r="H19" s="89"/>
      <c r="I19" s="89"/>
      <c r="J19" s="32">
        <f>РАСЧЕТ!C29</f>
        <v>0.3</v>
      </c>
    </row>
    <row r="20" spans="1:13" ht="7.5" customHeight="1"/>
    <row r="21" spans="1:13" ht="30.75" customHeight="1">
      <c r="A21" s="105" t="str">
        <f>CONCATENATE("    3. На основании исходных данных и расчетных коэффициентов размер ежегодной платы для одного РИС (одной БС) за период с "&amp;TEXT('Ввод данных'!C10,"ДД.ММ.ГГГГ")&amp;" г. по "&amp;TEXT('Ввод данных'!D10,"ДД.ММ.ГГГГ")&amp;" г. (",'Ввод данных'!C11," дней) составляет:")</f>
        <v xml:space="preserve">    3. На основании исходных данных и расчетных коэффициентов размер ежегодной платы для одного РИС (одной БС) за период с 01.01.2017 г. по 31.12.2017 г. (365 дней) составляет:</v>
      </c>
      <c r="B21" s="106"/>
      <c r="C21" s="106"/>
      <c r="D21" s="106"/>
      <c r="E21" s="106"/>
      <c r="F21" s="106"/>
      <c r="G21" s="106"/>
      <c r="H21" s="106"/>
      <c r="I21" s="106"/>
      <c r="J21" s="106"/>
    </row>
    <row r="22" spans="1:13" ht="40.799999999999997" customHeight="1">
      <c r="A22" s="36"/>
      <c r="B22" s="37"/>
      <c r="C22" s="36"/>
      <c r="D22" s="36"/>
      <c r="E22" s="36"/>
      <c r="F22" s="38"/>
      <c r="G22" s="38"/>
      <c r="H22" s="36"/>
      <c r="I22" s="38" t="str">
        <f>РАСЧЕТ!Q6&amp;" руб."</f>
        <v>391,5 руб.</v>
      </c>
      <c r="J22" s="36"/>
    </row>
    <row r="23" spans="1:13" ht="15.6" customHeight="1"/>
    <row r="24" spans="1:13" ht="15" customHeight="1"/>
    <row r="27" spans="1:13" ht="14.4" customHeight="1"/>
    <row r="31" spans="1:13" s="44" customForma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2.6" customHeight="1"/>
    <row r="33" ht="18" customHeight="1"/>
    <row r="34" ht="15" customHeight="1"/>
    <row r="35" ht="5.4" customHeight="1"/>
    <row r="36" ht="6" customHeight="1"/>
  </sheetData>
  <sheetProtection password="86A8" sheet="1" objects="1" scenarios="1" selectLockedCells="1"/>
  <mergeCells count="19">
    <mergeCell ref="B7:H7"/>
    <mergeCell ref="B1:J1"/>
    <mergeCell ref="A3:J3"/>
    <mergeCell ref="A4:H4"/>
    <mergeCell ref="B5:H5"/>
    <mergeCell ref="B6:H6"/>
    <mergeCell ref="B19:I19"/>
    <mergeCell ref="A21:J21"/>
    <mergeCell ref="B18:I18"/>
    <mergeCell ref="B8:H8"/>
    <mergeCell ref="B9:H9"/>
    <mergeCell ref="A10:J10"/>
    <mergeCell ref="A11:I11"/>
    <mergeCell ref="B12:I12"/>
    <mergeCell ref="B16:I16"/>
    <mergeCell ref="B17:I17"/>
    <mergeCell ref="B13:I13"/>
    <mergeCell ref="B14:I14"/>
    <mergeCell ref="B15:I15"/>
  </mergeCells>
  <phoneticPr fontId="18" type="noConversion"/>
  <pageMargins left="0.62992125984251968" right="0.23622047244094491" top="0.55118110236220474" bottom="0.55118110236220474" header="0" footer="0"/>
  <pageSetup paperSize="9" orientation="portrait" r:id="rId1"/>
  <legacyDrawing r:id="rId2"/>
  <oleObjects>
    <oleObject progId="Equation.3" shapeId="4101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2:V19"/>
  <sheetViews>
    <sheetView workbookViewId="0">
      <selection activeCell="C24" sqref="A1:XFD1048576"/>
    </sheetView>
  </sheetViews>
  <sheetFormatPr defaultRowHeight="14.4"/>
  <cols>
    <col min="1" max="1" width="3.88671875" style="9" customWidth="1"/>
    <col min="2" max="2" width="47.109375" style="9" customWidth="1"/>
    <col min="3" max="10" width="8.88671875" style="9"/>
    <col min="11" max="11" width="52" style="9" customWidth="1"/>
    <col min="12" max="12" width="12" style="9" customWidth="1"/>
    <col min="13" max="16384" width="8.88671875" style="9"/>
  </cols>
  <sheetData>
    <row r="2" spans="2:22">
      <c r="L2" s="9">
        <v>2017</v>
      </c>
    </row>
    <row r="3" spans="2:22">
      <c r="C3" s="9" t="s">
        <v>40</v>
      </c>
      <c r="D3" s="9" t="s">
        <v>41</v>
      </c>
      <c r="E3" s="9" t="s">
        <v>46</v>
      </c>
      <c r="F3" s="9" t="s">
        <v>47</v>
      </c>
      <c r="G3" s="9" t="s">
        <v>48</v>
      </c>
      <c r="H3" s="9" t="s">
        <v>49</v>
      </c>
      <c r="I3" s="9" t="s">
        <v>49</v>
      </c>
      <c r="J3" s="9" t="s">
        <v>42</v>
      </c>
      <c r="L3" s="9" t="s">
        <v>88</v>
      </c>
      <c r="T3" s="9" t="s">
        <v>50</v>
      </c>
    </row>
    <row r="4" spans="2:22">
      <c r="B4" s="62" t="s">
        <v>109</v>
      </c>
      <c r="C4" s="9">
        <v>1</v>
      </c>
      <c r="D4" s="9">
        <v>0.8</v>
      </c>
      <c r="E4" s="9">
        <v>1</v>
      </c>
      <c r="F4" s="9">
        <v>0</v>
      </c>
      <c r="G4" s="9">
        <v>0</v>
      </c>
      <c r="H4" s="9">
        <v>1</v>
      </c>
      <c r="I4" s="9">
        <v>0</v>
      </c>
      <c r="J4" s="9">
        <v>2.5</v>
      </c>
      <c r="K4" s="9" t="s">
        <v>82</v>
      </c>
      <c r="L4" s="61">
        <v>9</v>
      </c>
      <c r="M4" s="9">
        <v>1</v>
      </c>
      <c r="N4" s="9">
        <v>1</v>
      </c>
      <c r="T4" s="9" t="s">
        <v>51</v>
      </c>
      <c r="U4" s="61">
        <v>7.5</v>
      </c>
      <c r="V4" s="9" t="s">
        <v>21</v>
      </c>
    </row>
    <row r="5" spans="2:22">
      <c r="B5" s="62" t="s">
        <v>110</v>
      </c>
      <c r="C5" s="61">
        <v>0.4</v>
      </c>
      <c r="D5" s="61">
        <v>0.3</v>
      </c>
      <c r="E5" s="9">
        <v>0</v>
      </c>
      <c r="F5" s="9">
        <v>0</v>
      </c>
      <c r="G5" s="9">
        <v>1</v>
      </c>
      <c r="H5" s="9">
        <v>1</v>
      </c>
      <c r="I5" s="9">
        <v>0</v>
      </c>
      <c r="J5" s="9">
        <v>2.5</v>
      </c>
      <c r="K5" s="9" t="s">
        <v>83</v>
      </c>
      <c r="L5" s="61">
        <v>9</v>
      </c>
      <c r="M5" s="9">
        <v>0</v>
      </c>
      <c r="N5" s="9">
        <v>1</v>
      </c>
    </row>
    <row r="6" spans="2:22">
      <c r="B6" s="62" t="s">
        <v>111</v>
      </c>
      <c r="C6" s="61">
        <v>0.4</v>
      </c>
      <c r="D6" s="9">
        <v>1</v>
      </c>
      <c r="E6" s="9">
        <v>0</v>
      </c>
      <c r="F6" s="9">
        <v>1</v>
      </c>
      <c r="G6" s="9">
        <v>0</v>
      </c>
      <c r="H6" s="9">
        <v>1</v>
      </c>
      <c r="I6" s="9">
        <v>0</v>
      </c>
      <c r="J6" s="9">
        <v>1</v>
      </c>
      <c r="K6" s="9" t="s">
        <v>84</v>
      </c>
      <c r="L6" s="61">
        <v>0</v>
      </c>
      <c r="M6" s="9">
        <v>1</v>
      </c>
      <c r="N6" s="9">
        <v>1</v>
      </c>
    </row>
    <row r="7" spans="2:22">
      <c r="B7" s="62" t="s">
        <v>112</v>
      </c>
      <c r="C7" s="61">
        <v>0.4</v>
      </c>
      <c r="D7" s="9">
        <v>1</v>
      </c>
      <c r="E7" s="9">
        <v>1</v>
      </c>
      <c r="F7" s="9">
        <v>0</v>
      </c>
      <c r="G7" s="9">
        <v>0</v>
      </c>
      <c r="H7" s="9">
        <v>1</v>
      </c>
      <c r="I7" s="9">
        <v>0</v>
      </c>
      <c r="J7" s="9">
        <v>2.5</v>
      </c>
      <c r="K7" s="9" t="s">
        <v>80</v>
      </c>
      <c r="L7" s="61">
        <v>18</v>
      </c>
      <c r="M7" s="9">
        <v>0</v>
      </c>
      <c r="N7" s="9">
        <v>1</v>
      </c>
    </row>
    <row r="8" spans="2:22">
      <c r="B8" s="62" t="s">
        <v>113</v>
      </c>
      <c r="C8" s="9">
        <v>0.4</v>
      </c>
      <c r="D8" s="9">
        <v>0.1</v>
      </c>
      <c r="E8" s="9">
        <v>0</v>
      </c>
      <c r="F8" s="9">
        <v>1</v>
      </c>
      <c r="G8" s="9">
        <v>0</v>
      </c>
      <c r="H8" s="9">
        <v>1</v>
      </c>
      <c r="I8" s="9">
        <v>0</v>
      </c>
      <c r="J8" s="9">
        <v>1</v>
      </c>
      <c r="L8" s="61">
        <v>18</v>
      </c>
      <c r="M8" s="9">
        <v>0</v>
      </c>
      <c r="N8" s="9">
        <v>1</v>
      </c>
    </row>
    <row r="9" spans="2:22">
      <c r="B9" s="62" t="s">
        <v>114</v>
      </c>
      <c r="C9" s="9">
        <v>1</v>
      </c>
      <c r="D9" s="9">
        <v>0.01</v>
      </c>
      <c r="E9" s="9">
        <v>1</v>
      </c>
      <c r="F9" s="9">
        <v>0</v>
      </c>
      <c r="G9" s="9">
        <v>0</v>
      </c>
      <c r="H9" s="9">
        <v>1</v>
      </c>
      <c r="I9" s="9">
        <v>0</v>
      </c>
      <c r="J9" s="9">
        <v>2</v>
      </c>
      <c r="L9" s="61">
        <v>18</v>
      </c>
      <c r="M9" s="9">
        <v>0</v>
      </c>
      <c r="N9" s="9">
        <v>1</v>
      </c>
    </row>
    <row r="10" spans="2:22">
      <c r="B10" s="62" t="s">
        <v>115</v>
      </c>
      <c r="C10" s="9">
        <v>1</v>
      </c>
      <c r="D10" s="9">
        <v>0.1</v>
      </c>
      <c r="E10" s="9">
        <v>1</v>
      </c>
      <c r="F10" s="9">
        <v>0</v>
      </c>
      <c r="G10" s="9">
        <v>0</v>
      </c>
      <c r="H10" s="9">
        <v>1</v>
      </c>
      <c r="I10" s="9">
        <v>0</v>
      </c>
      <c r="J10" s="9">
        <v>3</v>
      </c>
      <c r="L10" s="61">
        <v>18</v>
      </c>
      <c r="M10" s="9">
        <v>0</v>
      </c>
      <c r="N10" s="9">
        <v>1</v>
      </c>
    </row>
    <row r="11" spans="2:22">
      <c r="B11" s="23" t="s">
        <v>44</v>
      </c>
      <c r="C11" s="9">
        <v>1.5</v>
      </c>
      <c r="D11" s="9">
        <v>0.25</v>
      </c>
      <c r="E11" s="9">
        <v>1</v>
      </c>
      <c r="F11" s="9">
        <v>0</v>
      </c>
      <c r="G11" s="9">
        <v>0</v>
      </c>
      <c r="H11" s="9">
        <v>1</v>
      </c>
      <c r="I11" s="9">
        <v>0</v>
      </c>
      <c r="J11" s="9">
        <v>2.5</v>
      </c>
      <c r="K11" s="9" t="s">
        <v>80</v>
      </c>
      <c r="L11" s="61">
        <v>18</v>
      </c>
      <c r="M11" s="9">
        <v>0</v>
      </c>
      <c r="N11" s="9">
        <v>1</v>
      </c>
    </row>
    <row r="12" spans="2:22" ht="14.4" customHeight="1">
      <c r="B12" s="62" t="s">
        <v>106</v>
      </c>
      <c r="C12" s="9">
        <v>1.8</v>
      </c>
      <c r="D12" s="9">
        <v>0.25</v>
      </c>
      <c r="E12" s="9">
        <v>1</v>
      </c>
      <c r="F12" s="9">
        <v>0</v>
      </c>
      <c r="G12" s="9">
        <v>0</v>
      </c>
      <c r="H12" s="9">
        <v>1</v>
      </c>
      <c r="I12" s="9">
        <v>0</v>
      </c>
      <c r="J12" s="9">
        <v>2.5</v>
      </c>
      <c r="K12" s="9" t="s">
        <v>80</v>
      </c>
      <c r="L12" s="61">
        <v>18</v>
      </c>
      <c r="M12" s="9">
        <v>0</v>
      </c>
      <c r="N12" s="9">
        <v>1</v>
      </c>
    </row>
    <row r="13" spans="2:22" ht="28.2" customHeight="1">
      <c r="B13" s="62" t="s">
        <v>108</v>
      </c>
      <c r="C13" s="9">
        <v>1.8</v>
      </c>
      <c r="D13" s="9">
        <v>0.5</v>
      </c>
      <c r="E13" s="9">
        <v>1</v>
      </c>
      <c r="F13" s="9">
        <v>0</v>
      </c>
      <c r="G13" s="9">
        <v>0</v>
      </c>
      <c r="H13" s="9">
        <v>1</v>
      </c>
      <c r="I13" s="9">
        <v>0</v>
      </c>
      <c r="J13" s="9">
        <v>0.6</v>
      </c>
      <c r="L13" s="61">
        <v>18</v>
      </c>
      <c r="M13" s="9">
        <v>0</v>
      </c>
      <c r="N13" s="9">
        <v>1</v>
      </c>
    </row>
    <row r="14" spans="2:22" ht="15.75" customHeight="1">
      <c r="B14" s="23" t="s">
        <v>43</v>
      </c>
      <c r="C14" s="9">
        <v>1.5</v>
      </c>
      <c r="D14" s="9">
        <v>1</v>
      </c>
      <c r="E14" s="9">
        <v>1</v>
      </c>
      <c r="F14" s="9">
        <v>0</v>
      </c>
      <c r="G14" s="9">
        <v>0</v>
      </c>
      <c r="H14" s="9">
        <v>1</v>
      </c>
      <c r="I14" s="9">
        <v>0</v>
      </c>
      <c r="J14" s="9">
        <v>0.6</v>
      </c>
      <c r="K14" s="9" t="s">
        <v>86</v>
      </c>
      <c r="L14" s="61">
        <v>18</v>
      </c>
      <c r="M14" s="9">
        <v>0</v>
      </c>
      <c r="N14" s="9">
        <v>1</v>
      </c>
    </row>
    <row r="15" spans="2:22" ht="15.6" customHeight="1">
      <c r="B15" s="62" t="s">
        <v>107</v>
      </c>
      <c r="C15" s="9">
        <v>1</v>
      </c>
      <c r="D15" s="9">
        <v>1</v>
      </c>
      <c r="E15" s="9">
        <v>1</v>
      </c>
      <c r="F15" s="9">
        <v>0</v>
      </c>
      <c r="G15" s="9">
        <v>0</v>
      </c>
      <c r="H15" s="9">
        <v>1</v>
      </c>
      <c r="I15" s="9">
        <v>0</v>
      </c>
      <c r="J15" s="9">
        <v>3</v>
      </c>
      <c r="K15" s="9" t="s">
        <v>85</v>
      </c>
      <c r="L15" s="61">
        <v>18</v>
      </c>
      <c r="M15" s="9">
        <v>0</v>
      </c>
      <c r="N15" s="9">
        <v>1</v>
      </c>
    </row>
    <row r="16" spans="2:22" ht="15" customHeight="1">
      <c r="B16" s="23" t="s">
        <v>89</v>
      </c>
      <c r="C16" s="9">
        <v>1.5</v>
      </c>
      <c r="D16" s="9">
        <v>1</v>
      </c>
      <c r="E16" s="9">
        <v>1</v>
      </c>
      <c r="F16" s="9">
        <v>0</v>
      </c>
      <c r="G16" s="9">
        <v>0</v>
      </c>
      <c r="H16" s="9">
        <v>1</v>
      </c>
      <c r="I16" s="9">
        <v>0</v>
      </c>
      <c r="J16" s="9">
        <v>2</v>
      </c>
      <c r="K16" s="9" t="s">
        <v>80</v>
      </c>
      <c r="L16" s="61">
        <v>18</v>
      </c>
      <c r="M16" s="9">
        <v>0</v>
      </c>
      <c r="N16" s="9">
        <v>1</v>
      </c>
    </row>
    <row r="17" spans="2:14" ht="14.25" customHeight="1">
      <c r="B17" s="23" t="s">
        <v>90</v>
      </c>
      <c r="C17" s="9">
        <v>1.5</v>
      </c>
      <c r="D17" s="9">
        <v>0.01</v>
      </c>
      <c r="E17" s="9">
        <v>1</v>
      </c>
      <c r="F17" s="9">
        <v>0</v>
      </c>
      <c r="G17" s="9">
        <v>0</v>
      </c>
      <c r="H17" s="9">
        <v>1</v>
      </c>
      <c r="I17" s="9">
        <v>0</v>
      </c>
      <c r="J17" s="9">
        <v>0.6</v>
      </c>
      <c r="K17" s="9" t="s">
        <v>80</v>
      </c>
      <c r="L17" s="61">
        <v>18</v>
      </c>
      <c r="M17" s="9">
        <v>0</v>
      </c>
      <c r="N17" s="9">
        <v>1</v>
      </c>
    </row>
    <row r="18" spans="2:14" ht="17.25" customHeight="1">
      <c r="B18" s="23" t="s">
        <v>91</v>
      </c>
      <c r="C18" s="9">
        <v>1.5</v>
      </c>
      <c r="D18" s="9">
        <v>0.3</v>
      </c>
      <c r="E18" s="9">
        <v>0</v>
      </c>
      <c r="F18" s="9">
        <v>1</v>
      </c>
      <c r="G18" s="9">
        <v>0</v>
      </c>
      <c r="H18" s="9">
        <v>1</v>
      </c>
      <c r="I18" s="9">
        <v>0</v>
      </c>
      <c r="J18" s="9">
        <v>1</v>
      </c>
      <c r="L18" s="61">
        <v>18</v>
      </c>
      <c r="M18" s="9">
        <v>0</v>
      </c>
      <c r="N18" s="9">
        <v>1</v>
      </c>
    </row>
    <row r="19" spans="2:14">
      <c r="B19" s="23" t="s">
        <v>45</v>
      </c>
      <c r="C19" s="9">
        <v>1.5</v>
      </c>
      <c r="D19" s="9">
        <v>1</v>
      </c>
      <c r="E19" s="9">
        <v>1</v>
      </c>
      <c r="F19" s="9">
        <v>0</v>
      </c>
      <c r="G19" s="9">
        <v>0</v>
      </c>
      <c r="H19" s="9">
        <v>0</v>
      </c>
      <c r="I19" s="9">
        <v>1</v>
      </c>
      <c r="J19" s="9">
        <v>2</v>
      </c>
      <c r="K19" s="9" t="s">
        <v>81</v>
      </c>
      <c r="L19" s="61">
        <v>18</v>
      </c>
      <c r="M19" s="9">
        <v>0</v>
      </c>
      <c r="N19" s="9">
        <v>0</v>
      </c>
    </row>
  </sheetData>
  <sheetProtection password="86A8" sheet="1" objects="1" scenarios="1" selectLockedCells="1"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Ввод данных</vt:lpstr>
      <vt:lpstr>РАСЧЕТ</vt:lpstr>
      <vt:lpstr>Расчет РАЗОВОЙ ПЛАТЫ</vt:lpstr>
      <vt:lpstr>Расчет ЕЖЕГОДНОЙ ПЛАТЫ</vt:lpstr>
      <vt:lpstr>Таблицы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С. Токарь</dc:creator>
  <cp:lastModifiedBy>Михаил С. Токарь</cp:lastModifiedBy>
  <cp:lastPrinted>2017-01-25T13:54:45Z</cp:lastPrinted>
  <dcterms:created xsi:type="dcterms:W3CDTF">2014-01-23T13:07:59Z</dcterms:created>
  <dcterms:modified xsi:type="dcterms:W3CDTF">2017-01-25T13:56:49Z</dcterms:modified>
</cp:coreProperties>
</file>